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2120" windowHeight="8250" tabRatio="910" activeTab="0"/>
  </bookViews>
  <sheets>
    <sheet name="NFZ" sheetId="1" r:id="rId1"/>
    <sheet name="CENTRALA" sheetId="2" r:id="rId2"/>
    <sheet name="Razem OW" sheetId="3" r:id="rId3"/>
    <sheet name="Dolnośląski" sheetId="4" r:id="rId4"/>
    <sheet name="KujawskoPomorski" sheetId="5" r:id="rId5"/>
    <sheet name="Lubelski" sheetId="6" r:id="rId6"/>
    <sheet name="Lubuski" sheetId="7" r:id="rId7"/>
    <sheet name="Łódzki" sheetId="8" r:id="rId8"/>
    <sheet name="Małopolski" sheetId="9" r:id="rId9"/>
    <sheet name="Mazowiecki" sheetId="10" r:id="rId10"/>
    <sheet name="Opolski" sheetId="11" r:id="rId11"/>
    <sheet name="Podkarpacki" sheetId="12" r:id="rId12"/>
    <sheet name="Podlaski" sheetId="13" r:id="rId13"/>
    <sheet name="Pomorski" sheetId="14" r:id="rId14"/>
    <sheet name="Śląski" sheetId="15" r:id="rId15"/>
    <sheet name="Świętokrzyski" sheetId="16" r:id="rId16"/>
    <sheet name="WarmińskoMazurski" sheetId="17" r:id="rId17"/>
    <sheet name="Wielkopolski" sheetId="18" r:id="rId18"/>
    <sheet name="Zachodniopomorski" sheetId="19" r:id="rId19"/>
  </sheets>
  <externalReferences>
    <externalReference r:id="rId22"/>
    <externalReference r:id="rId23"/>
    <externalReference r:id="rId24"/>
    <externalReference r:id="rId25"/>
  </externalReferences>
  <definedNames>
    <definedName name="___C">[0]!___C</definedName>
    <definedName name="__C">[0]!__C</definedName>
    <definedName name="_1_0_0kos">'[1]plan'!#REF!</definedName>
    <definedName name="_2_0_0ra">'[1]plan'!#REF!</definedName>
    <definedName name="_C" localSheetId="2">'Razem OW'!_C</definedName>
    <definedName name="_C" localSheetId="18">'Zachodniopomorski'!_C</definedName>
    <definedName name="_C">'Razem OW'!_C</definedName>
    <definedName name="A" localSheetId="2">'Razem OW'!A</definedName>
    <definedName name="A" localSheetId="18">'Zachodniopomorski'!A</definedName>
    <definedName name="A">'Razem OW'!A</definedName>
    <definedName name="A_2">[0]!A_2</definedName>
    <definedName name="aa" localSheetId="2">'Razem OW'!aa</definedName>
    <definedName name="aa" localSheetId="18">'Zachodniopomorski'!aa</definedName>
    <definedName name="aa">'Razem OW'!aa</definedName>
    <definedName name="aa_2">[0]!aa_2</definedName>
    <definedName name="B">[0]!B</definedName>
    <definedName name="BILANS">'[2]plan'!#REF!</definedName>
    <definedName name="BILANSSPZ">'[2]plan'!#REF!</definedName>
    <definedName name="BV" localSheetId="2">'Razem OW'!BV</definedName>
    <definedName name="BV" localSheetId="18">'Zachodniopomorski'!BV</definedName>
    <definedName name="BV">'Razem OW'!BV</definedName>
    <definedName name="cr" localSheetId="2">'Razem OW'!cr</definedName>
    <definedName name="cr" localSheetId="18">'Zachodniopomorski'!cr</definedName>
    <definedName name="cr">'Razem OW'!cr</definedName>
    <definedName name="d" localSheetId="2">'Razem OW'!d</definedName>
    <definedName name="d" localSheetId="18">'Zachodniopomorski'!d</definedName>
    <definedName name="d">'Razem OW'!d</definedName>
    <definedName name="depozyty">#REF!</definedName>
    <definedName name="g">[0]!g</definedName>
    <definedName name="koszty">'[1]plan'!#REF!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18">'Zachodniopomorski'!mn</definedName>
    <definedName name="mn">'Razem OW'!mn</definedName>
    <definedName name="mon" localSheetId="2">'Razem OW'!mon</definedName>
    <definedName name="mon" localSheetId="18">'Zachodniopomorski'!mon</definedName>
    <definedName name="mon">'Razem OW'!mon</definedName>
    <definedName name="naleznosci">#REF!</definedName>
    <definedName name="_xlnm.Print_Area" localSheetId="1">'CENTRALA'!$A$1:$F$63</definedName>
    <definedName name="_xlnm.Print_Area" localSheetId="3">'Dolnośląski'!$A$1:$F$63</definedName>
    <definedName name="_xlnm.Print_Area" localSheetId="4">'KujawskoPomorski'!$A$1:$F$63</definedName>
    <definedName name="_xlnm.Print_Area" localSheetId="5">'Lubelski'!$A$1:$F$63</definedName>
    <definedName name="_xlnm.Print_Area" localSheetId="6">'Lubuski'!$A$1:$F$63</definedName>
    <definedName name="_xlnm.Print_Area" localSheetId="7">'Łódzki'!$A$1:$F$63</definedName>
    <definedName name="_xlnm.Print_Area" localSheetId="8">'Małopolski'!$A$1:$F$63</definedName>
    <definedName name="_xlnm.Print_Area" localSheetId="9">'Mazowiecki'!$A$1:$F$63</definedName>
    <definedName name="_xlnm.Print_Area" localSheetId="0">'NFZ'!$A$1:$F$96</definedName>
    <definedName name="_xlnm.Print_Area" localSheetId="10">'Opolski'!$A$1:$F$63</definedName>
    <definedName name="_xlnm.Print_Area" localSheetId="11">'Podkarpacki'!$A$1:$F$63</definedName>
    <definedName name="_xlnm.Print_Area" localSheetId="12">'Podlaski'!$A$1:$F$63</definedName>
    <definedName name="_xlnm.Print_Area" localSheetId="13">'Pomorski'!$A$1:$F$63</definedName>
    <definedName name="_xlnm.Print_Area" localSheetId="2">'Razem OW'!$A$1:$F$63</definedName>
    <definedName name="_xlnm.Print_Area" localSheetId="14">'Śląski'!$A$1:$F$63</definedName>
    <definedName name="_xlnm.Print_Area" localSheetId="15">'Świętokrzyski'!$A$1:$F$63</definedName>
    <definedName name="_xlnm.Print_Area" localSheetId="16">'WarmińskoMazurski'!$A$1:$F$63</definedName>
    <definedName name="_xlnm.Print_Area" localSheetId="17">'Wielkopolski'!$A$1:$F$63</definedName>
    <definedName name="_xlnm.Print_Area" localSheetId="18">'Zachodniopomorski'!$A$1:$F$63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18">'Zachodniopomorski'!rgds</definedName>
    <definedName name="rgds">'Razem OW'!rgds</definedName>
    <definedName name="_xlnm.Print_Titles" localSheetId="0">'NFZ'!$1:$6</definedName>
    <definedName name="wybkosz1">#REF!</definedName>
    <definedName name="wybkosz2">#REF!</definedName>
    <definedName name="za" localSheetId="2">'Razem OW'!za</definedName>
    <definedName name="za" localSheetId="18">'Zachodniopomorski'!za</definedName>
    <definedName name="za">'Razem OW'!za</definedName>
  </definedNames>
  <calcPr fullCalcOnLoad="1" fullPrecision="0"/>
</workbook>
</file>

<file path=xl/sharedStrings.xml><?xml version="1.0" encoding="utf-8"?>
<sst xmlns="http://schemas.openxmlformats.org/spreadsheetml/2006/main" count="2381" uniqueCount="208">
  <si>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</si>
  <si>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</si>
  <si>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</si>
  <si>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</si>
  <si>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</si>
  <si>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</si>
  <si>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</si>
  <si>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</si>
  <si>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</si>
  <si>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</si>
  <si>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</si>
  <si>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</si>
  <si>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</si>
  <si>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B2.13</t>
  </si>
  <si>
    <t>B2.14</t>
  </si>
  <si>
    <t>B2.15</t>
  </si>
  <si>
    <t>D.</t>
  </si>
  <si>
    <t>D1</t>
  </si>
  <si>
    <t>zużycie materiałów i energii</t>
  </si>
  <si>
    <t>D2</t>
  </si>
  <si>
    <t>usługi obce</t>
  </si>
  <si>
    <t>D3</t>
  </si>
  <si>
    <t>D4</t>
  </si>
  <si>
    <t>D5</t>
  </si>
  <si>
    <t>D6</t>
  </si>
  <si>
    <t>koszty funkcjonowania Rady Funduszu</t>
  </si>
  <si>
    <t>D7</t>
  </si>
  <si>
    <t>D8</t>
  </si>
  <si>
    <t>pozostałe koszty administracyjne</t>
  </si>
  <si>
    <t>F.</t>
  </si>
  <si>
    <t>F2</t>
  </si>
  <si>
    <t>F3</t>
  </si>
  <si>
    <t>podatki i opłaty, w tym: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</si>
  <si>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</si>
  <si>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</si>
  <si>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</si>
  <si>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</si>
  <si>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</si>
  <si>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</si>
  <si>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</si>
  <si>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</si>
  <si>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</si>
  <si>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</si>
  <si>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</si>
  <si>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</si>
  <si>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</si>
  <si>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</si>
  <si>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</si>
  <si>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</si>
  <si>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</si>
  <si>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</si>
  <si>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</si>
  <si>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</si>
  <si>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</si>
  <si>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</si>
  <si>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ubezpieczenie społeczne i inne świadczenia, w tym:</t>
  </si>
  <si>
    <t>Wyszczególnienie</t>
  </si>
  <si>
    <t>rezerwa na zobowiązania wynikające z postępowań sądowych</t>
  </si>
  <si>
    <t>B2.3.1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</si>
  <si>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</si>
  <si>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</si>
  <si>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</si>
  <si>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</si>
  <si>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 xml:space="preserve">Koszty Dolnośląskiego Oddziału Wojewódzkiego Narodowego Funduszu Zdrowia </t>
  </si>
  <si>
    <t>Koszty Kujawsko-Pomorskiego Oddziału Wojewódzkiego Narodowego Funduszu Zdrowia</t>
  </si>
  <si>
    <t>Koszty Lubelskiego Oddziału Wojewódzkiego Narodowego Funduszu Zdrowia</t>
  </si>
  <si>
    <t>Koszty Lubuskiego Oddziału Wojewódzkiego Narodowego Funduszu Zdrowia</t>
  </si>
  <si>
    <t>Koszty Łódzkiego Oddziału Wojewódzkiego Narodowego Funduszu Zdrowia</t>
  </si>
  <si>
    <t>Koszty Małopolskiego Oddziału Wojewódzkiego Narodowego Funduszu Zdrowia</t>
  </si>
  <si>
    <t>Koszty Mazowieckiego Oddziału Wojewódzkiego Narodowego Funduszu Zdrowia</t>
  </si>
  <si>
    <t>Koszty Opolskiego Oddziału Wojewódzkiego Narodowego Funduszu Zdrowia</t>
  </si>
  <si>
    <t>Koszty Podkarpackiego Oddziału Wojewódzkiego Narodowego Funduszu Zdrowia</t>
  </si>
  <si>
    <t>Koszty Podlaskiego Oddziału Wojewódzkiego Narodowego Funduszu Zdrowia</t>
  </si>
  <si>
    <t>Koszty Pomorskiego Oddziału Wojewódzkiego Narodowego Funduszu Zdrowia</t>
  </si>
  <si>
    <t>Koszty Śląskiego Oddziału Wojewódzkiego Narodowego Funduszu Zdrowia</t>
  </si>
  <si>
    <t>Koszty Świętokrzyskiego Oddziału Wojewódzkiego Narodowego Funduszu Zdrowia</t>
  </si>
  <si>
    <t>Koszty Warmińsko-Mazurskiego Oddziału Wojewódzkiego Narodowego Funduszu Zdrowia</t>
  </si>
  <si>
    <t>Koszty Wielkopolskiego Oddziału Wojewódzkiego Narodowego Funduszu Zdrowia</t>
  </si>
  <si>
    <t>Koszty Zachodniopomorskiego Oddziału Wojewódzkiego Narodowego Funduszu Zdrowia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</si>
  <si>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</si>
  <si>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</si>
  <si>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</si>
  <si>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</si>
  <si>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</si>
  <si>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</si>
  <si>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</si>
  <si>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</si>
  <si>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Przychody ze składek z lat ubiegłych (3.1+3.2), w tym: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</si>
  <si>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</si>
  <si>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</si>
  <si>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</si>
  <si>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</si>
  <si>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</si>
  <si>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</si>
  <si>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</si>
  <si>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</si>
  <si>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</si>
  <si>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</si>
  <si>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</si>
  <si>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</si>
  <si>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</si>
  <si>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</si>
  <si>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</si>
  <si>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</si>
  <si>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</si>
  <si>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</si>
  <si>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</si>
  <si>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</si>
  <si>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</si>
  <si>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</si>
  <si>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</si>
  <si>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</si>
  <si>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</si>
  <si>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</si>
  <si>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</si>
  <si>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</si>
  <si>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</si>
  <si>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</si>
  <si>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</si>
  <si>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</si>
  <si>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</si>
  <si>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</si>
  <si>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</si>
  <si>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</si>
  <si>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</si>
  <si>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</si>
  <si>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wydanie i utrzymanie kart ubezpieczenia (w tym części stałych i zamiennych książeczek usług medycznych) oraz recept</t>
  </si>
  <si>
    <t>Zyski i straty nadzwyczajne (J1 - J2)</t>
  </si>
  <si>
    <t>Wynik fiansowy ogółem brutto (I + J)</t>
  </si>
  <si>
    <t>Przychody finansowe (G1 + G2), w tym:</t>
  </si>
  <si>
    <t>Wynik na działalności (A - B)</t>
  </si>
  <si>
    <t>Koszty realizacji zadań (B1 + B2 + B3 + B4)</t>
  </si>
  <si>
    <t>Planowany odpis aktualizujący składkę należną
(2.1 + 2.2), w tym:</t>
  </si>
  <si>
    <t>Koszty finansowe</t>
  </si>
  <si>
    <t>Wynik finansowy ogółem netto (K-L)</t>
  </si>
  <si>
    <t>Składka należna brutto w roku planowania równa przypisowi składki
(1.1 + 1.2), w tym: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</si>
  <si>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</si>
  <si>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</si>
  <si>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</si>
  <si>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</si>
  <si>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</si>
  <si>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</si>
  <si>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</si>
  <si>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</si>
  <si>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opieka psychiatryczna i leczenie uzależnień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</si>
  <si>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</si>
  <si>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</si>
  <si>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</si>
  <si>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</si>
  <si>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Przychody netto z działalności
(1-2+3-4) + A1 + A2 + A3 + A4</t>
  </si>
  <si>
    <t>A</t>
  </si>
  <si>
    <t>B</t>
  </si>
  <si>
    <t>C</t>
  </si>
  <si>
    <t>D</t>
  </si>
  <si>
    <t>E</t>
  </si>
  <si>
    <t>Pozostałe koszty (F1+ … +F4), w tym: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</si>
  <si>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</si>
  <si>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</si>
  <si>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</si>
  <si>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</si>
  <si>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</si>
  <si>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</si>
  <si>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</si>
  <si>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</si>
  <si>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</si>
  <si>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</si>
  <si>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w tys. zł</t>
  </si>
  <si>
    <t>programy terapeutyczne (lekowe), w tym:</t>
  </si>
  <si>
    <t>B2.3.1.1</t>
  </si>
  <si>
    <t>B2.3.2</t>
  </si>
  <si>
    <t>B2.3.2.1</t>
  </si>
  <si>
    <t>leki, środki spożywcze specjalnego przeznaczenia żywieniowego objęte programami lekowymi</t>
  </si>
  <si>
    <t>chemioterapia, w tym:</t>
  </si>
  <si>
    <t>leki stosowane w chemioterapii</t>
  </si>
  <si>
    <t>Koszty świadczeń opieki zdrowotnej  (B2.1+...+B2.18), w tym:</t>
  </si>
  <si>
    <t>zaopatrzenie w wyroby medyczne oraz ich naprawa, o których mowa w ustawie o refundacji</t>
  </si>
  <si>
    <t>refundacja, w tym:</t>
  </si>
  <si>
    <t>B2.14.2</t>
  </si>
  <si>
    <t>refundacja leków, środków spożywczych specjalnego przeznaczenia żywieniowego oraz wyrobów medycznych dostępnych w aptece na receptę</t>
  </si>
  <si>
    <t>refundacja środków spożywczych specjalnego przeznaczenia żywieniowego, o których mowa w art. 15 ust. 2 pkt 18 ustawy</t>
  </si>
  <si>
    <t>refundacja leków, o których mowa w art. 15 ust. 2 pkt 17 ustawy</t>
  </si>
  <si>
    <t>B2.14.3</t>
  </si>
  <si>
    <t>rezerwa na pokrycie kosztów świadczeń opieki zdrowotnej oraz refundacji leków, w tym:</t>
  </si>
  <si>
    <t>B2.16.1</t>
  </si>
  <si>
    <t>Bn</t>
  </si>
  <si>
    <t>Całkowity budżet na refundację
(B2.3.1.1+B2.3.2.1+B2.14+B2.16.1)</t>
  </si>
  <si>
    <t>wynagrodzenia, w tym:</t>
  </si>
  <si>
    <t>D4.1</t>
  </si>
  <si>
    <t>wynagrodzenia bezosobowe</t>
  </si>
  <si>
    <t>amortyzacja środków trwałych oraz wartości niematerialnych i prawnych</t>
  </si>
  <si>
    <t>Pozostałe koszty (F1+...+F4)</t>
  </si>
  <si>
    <t>Koszt poboru i ewidencjonowania składek ( 4.1 + 4.2 ), w tym:</t>
  </si>
  <si>
    <t>dotacje z budżetu państwa na finansowanie zadań, o których mowa w art. 97 ust. 3 pkt 2a, 3 i 3b ustawy</t>
  </si>
  <si>
    <t>Pozostałe przychody</t>
  </si>
  <si>
    <t>Koszty administracyjne (D1 + … + D9), w tym:</t>
  </si>
  <si>
    <t>Koszty administracyjne ( D1+...+D9 ), w tym</t>
  </si>
  <si>
    <t>Koszty świadczeń opieki zdrowotnej  (B2.1 + … + B2.18), w tym:</t>
  </si>
  <si>
    <t>świadczenia opieki zdrowotnej kontraktowane odrębnie</t>
  </si>
  <si>
    <t>koszty świadczeń opieki zdrowotnej z lat ubiegłych</t>
  </si>
  <si>
    <t>rezerwa, o której mowa w art. 118 ust. 2 pkt 2 lit. c ustawy</t>
  </si>
  <si>
    <t>Przychody i koszty Narodowego Funduszu Zdrowia - łącznie</t>
  </si>
  <si>
    <t>Koszty Centrali Narodowego Funduszu Zdrowia</t>
  </si>
  <si>
    <t>Koszty oddziałów wojewódzkich NFZ - łącznie</t>
  </si>
  <si>
    <t>Plan 
po zmianie</t>
  </si>
  <si>
    <t>Różnica 
kol.4-kol.3</t>
  </si>
  <si>
    <t>Dynamika
kol.4/kol.3</t>
  </si>
  <si>
    <t>Plan na
2013 rok</t>
  </si>
  <si>
    <t>URUCHOMIENIE REZERWY NA KOSZTY ŚWIADCZEŃ OPIEKI ZDROWOTNEJ W RAMACH MIGRACJI UBEZPIECZONYCH Z DNIA 30 SIERPNIA 2012 R. W PLANIE FINANSOWYM NARODOWEGO FUNDUSZU ZDROWIA NA 2013 ROK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</si>
</sst>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  <numFmt numFmtId="169" formatCode="0.000%"/>
    <numFmt numFmtId="170" formatCode="0.0000%"/>
    <numFmt numFmtId="171" formatCode="#,##0.0"/>
  </numFmts>
  <fonts count="62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 CE"/>
      <family val="1"/>
    </font>
    <font>
      <sz val="12"/>
      <name val="Times New Roman CE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family val="0"/>
    </font>
    <font>
      <b/>
      <sz val="11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name val="Times New Roman CE"/>
      <family val="0"/>
    </font>
    <font>
      <b/>
      <sz val="24"/>
      <name val="Times New Roman"/>
      <family val="1"/>
    </font>
    <font>
      <b/>
      <sz val="26"/>
      <name val="Times New Roman CE"/>
      <family val="0"/>
    </font>
    <font>
      <b/>
      <sz val="12"/>
      <name val="Times New Roman CE"/>
      <family val="1"/>
    </font>
    <font>
      <b/>
      <sz val="24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sz val="18"/>
      <name val="Times New Roman"/>
      <family val="1"/>
    </font>
    <font>
      <b/>
      <sz val="20"/>
      <name val="Times New Roman CE"/>
      <family val="1"/>
    </font>
    <font>
      <sz val="16"/>
      <name val="Times New Roman"/>
      <family val="1"/>
    </font>
    <font>
      <sz val="16"/>
      <name val="Times New Roman CE"/>
      <family val="0"/>
    </font>
    <font>
      <sz val="18"/>
      <name val="Times New Roman"/>
      <family val="1"/>
    </font>
    <font>
      <sz val="10"/>
      <name val="Helv"/>
      <family val="0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9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164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26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7" borderId="1" applyNumberFormat="0" applyAlignment="0" applyProtection="0"/>
    <xf numFmtId="9" fontId="0" fillId="0" borderId="0" applyFont="0" applyFill="0" applyBorder="0" applyAlignment="0" applyProtection="0"/>
    <xf numFmtId="0" fontId="24" fillId="0" borderId="0">
      <alignment/>
      <protection/>
    </xf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6" fillId="33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3" fontId="13" fillId="33" borderId="10" xfId="0" applyNumberFormat="1" applyFont="1" applyFill="1" applyBorder="1" applyAlignment="1">
      <alignment horizontal="right" vertical="center"/>
    </xf>
    <xf numFmtId="0" fontId="16" fillId="33" borderId="0" xfId="0" applyFont="1" applyFill="1" applyAlignment="1">
      <alignment/>
    </xf>
    <xf numFmtId="3" fontId="11" fillId="0" borderId="10" xfId="0" applyNumberFormat="1" applyFont="1" applyFill="1" applyBorder="1" applyAlignment="1">
      <alignment horizontal="right" vertical="center"/>
    </xf>
    <xf numFmtId="3" fontId="13" fillId="33" borderId="1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3" fontId="11" fillId="33" borderId="10" xfId="0" applyNumberFormat="1" applyFont="1" applyFill="1" applyBorder="1" applyAlignment="1">
      <alignment horizontal="right" vertical="center"/>
    </xf>
    <xf numFmtId="0" fontId="5" fillId="33" borderId="10" xfId="67" applyFont="1" applyFill="1" applyBorder="1" applyAlignment="1" applyProtection="1">
      <alignment horizontal="center" vertical="center" wrapText="1"/>
      <protection locked="0"/>
    </xf>
    <xf numFmtId="3" fontId="13" fillId="33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2" fillId="33" borderId="10" xfId="67" applyFont="1" applyFill="1" applyBorder="1" applyAlignment="1" applyProtection="1">
      <alignment horizontal="center" vertical="center" wrapText="1"/>
      <protection locked="0"/>
    </xf>
    <xf numFmtId="3" fontId="13" fillId="33" borderId="10" xfId="0" applyNumberFormat="1" applyFont="1" applyFill="1" applyBorder="1" applyAlignment="1" applyProtection="1">
      <alignment vertical="center"/>
      <protection/>
    </xf>
    <xf numFmtId="0" fontId="4" fillId="0" borderId="10" xfId="67" applyFont="1" applyFill="1" applyBorder="1" applyAlignment="1" applyProtection="1">
      <alignment horizontal="center" vertical="center" wrapText="1"/>
      <protection/>
    </xf>
    <xf numFmtId="0" fontId="21" fillId="0" borderId="10" xfId="67" applyFont="1" applyFill="1" applyBorder="1" applyAlignment="1" applyProtection="1">
      <alignment horizontal="center" vertical="center" wrapText="1"/>
      <protection/>
    </xf>
    <xf numFmtId="0" fontId="21" fillId="0" borderId="10" xfId="67" applyFont="1" applyFill="1" applyBorder="1" applyAlignment="1" applyProtection="1">
      <alignment horizontal="center" vertical="center" wrapText="1"/>
      <protection/>
    </xf>
    <xf numFmtId="0" fontId="22" fillId="0" borderId="10" xfId="67" applyFont="1" applyFill="1" applyBorder="1" applyAlignment="1" applyProtection="1">
      <alignment horizontal="center" vertical="center" wrapText="1"/>
      <protection/>
    </xf>
    <xf numFmtId="0" fontId="12" fillId="0" borderId="10" xfId="67" applyFont="1" applyFill="1" applyBorder="1" applyAlignment="1" applyProtection="1">
      <alignment horizontal="center" vertical="center" wrapText="1"/>
      <protection/>
    </xf>
    <xf numFmtId="0" fontId="12" fillId="33" borderId="10" xfId="67" applyFont="1" applyFill="1" applyBorder="1" applyAlignment="1" applyProtection="1">
      <alignment horizontal="center" vertical="center" wrapText="1"/>
      <protection/>
    </xf>
    <xf numFmtId="0" fontId="7" fillId="0" borderId="10" xfId="67" applyFont="1" applyFill="1" applyBorder="1" applyAlignment="1" applyProtection="1">
      <alignment horizontal="left" vertical="center" wrapText="1" indent="3"/>
      <protection/>
    </xf>
    <xf numFmtId="0" fontId="21" fillId="0" borderId="10" xfId="67" applyFont="1" applyFill="1" applyBorder="1" applyAlignment="1" applyProtection="1">
      <alignment horizontal="left" vertical="center" wrapText="1" indent="2"/>
      <protection/>
    </xf>
    <xf numFmtId="0" fontId="21" fillId="0" borderId="10" xfId="65" applyFont="1" applyFill="1" applyBorder="1" applyAlignment="1" applyProtection="1">
      <alignment horizontal="left" vertical="center" wrapText="1" indent="2"/>
      <protection/>
    </xf>
    <xf numFmtId="0" fontId="22" fillId="0" borderId="10" xfId="67" applyFont="1" applyFill="1" applyBorder="1" applyAlignment="1" applyProtection="1">
      <alignment horizontal="left" vertical="center" wrapText="1" indent="2"/>
      <protection/>
    </xf>
    <xf numFmtId="0" fontId="12" fillId="0" borderId="10" xfId="67" applyFont="1" applyFill="1" applyBorder="1" applyAlignment="1" applyProtection="1">
      <alignment horizontal="left" vertical="center" wrapText="1" indent="1"/>
      <protection/>
    </xf>
    <xf numFmtId="0" fontId="5" fillId="33" borderId="10" xfId="67" applyFont="1" applyFill="1" applyBorder="1" applyAlignment="1" applyProtection="1">
      <alignment horizontal="left" vertical="center" wrapText="1" indent="1"/>
      <protection/>
    </xf>
    <xf numFmtId="0" fontId="22" fillId="0" borderId="10" xfId="67" applyFont="1" applyFill="1" applyBorder="1" applyAlignment="1" applyProtection="1">
      <alignment horizontal="left" vertical="center" wrapText="1" indent="2"/>
      <protection/>
    </xf>
    <xf numFmtId="0" fontId="22" fillId="0" borderId="10" xfId="66" applyFont="1" applyFill="1" applyBorder="1" applyAlignment="1" applyProtection="1">
      <alignment horizontal="left" vertical="center" wrapText="1" indent="2"/>
      <protection/>
    </xf>
    <xf numFmtId="0" fontId="2" fillId="0" borderId="10" xfId="67" applyFont="1" applyFill="1" applyBorder="1" applyAlignment="1" applyProtection="1">
      <alignment horizontal="center" vertical="center" wrapText="1"/>
      <protection/>
    </xf>
    <xf numFmtId="0" fontId="3" fillId="0" borderId="10" xfId="66" applyFont="1" applyFill="1" applyBorder="1" applyAlignment="1" applyProtection="1">
      <alignment horizontal="left" vertical="center" wrapText="1" indent="3"/>
      <protection/>
    </xf>
    <xf numFmtId="0" fontId="3" fillId="0" borderId="10" xfId="66" applyFont="1" applyFill="1" applyBorder="1" applyAlignment="1" applyProtection="1">
      <alignment horizontal="left" vertical="center" wrapText="1" indent="4"/>
      <protection/>
    </xf>
    <xf numFmtId="0" fontId="12" fillId="33" borderId="10" xfId="67" applyFont="1" applyFill="1" applyBorder="1" applyAlignment="1" applyProtection="1">
      <alignment horizontal="left" vertical="center" wrapText="1" indent="1"/>
      <protection/>
    </xf>
    <xf numFmtId="0" fontId="12" fillId="33" borderId="10" xfId="67" applyFont="1" applyFill="1" applyBorder="1" applyAlignment="1" applyProtection="1">
      <alignment horizontal="left" vertical="center" wrapText="1" indent="1"/>
      <protection/>
    </xf>
    <xf numFmtId="49" fontId="9" fillId="33" borderId="10" xfId="65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vertical="center"/>
      <protection locked="0"/>
    </xf>
    <xf numFmtId="0" fontId="19" fillId="0" borderId="0" xfId="0" applyFont="1" applyFill="1" applyAlignment="1">
      <alignment/>
    </xf>
    <xf numFmtId="0" fontId="19" fillId="0" borderId="0" xfId="0" applyFont="1" applyFill="1" applyAlignment="1" applyProtection="1">
      <alignment vertical="center"/>
      <protection locked="0"/>
    </xf>
    <xf numFmtId="0" fontId="12" fillId="0" borderId="10" xfId="67" applyFont="1" applyFill="1" applyBorder="1" applyAlignment="1" applyProtection="1">
      <alignment horizontal="left" vertical="center" wrapText="1" indent="2"/>
      <protection/>
    </xf>
    <xf numFmtId="49" fontId="9" fillId="33" borderId="10" xfId="0" applyNumberFormat="1" applyFont="1" applyFill="1" applyBorder="1" applyAlignment="1">
      <alignment horizontal="center" vertical="center"/>
    </xf>
    <xf numFmtId="0" fontId="20" fillId="33" borderId="10" xfId="67" applyFont="1" applyFill="1" applyBorder="1" applyAlignment="1" applyProtection="1">
      <alignment horizontal="center" vertical="center" wrapText="1"/>
      <protection/>
    </xf>
    <xf numFmtId="0" fontId="20" fillId="33" borderId="10" xfId="67" applyFont="1" applyFill="1" applyBorder="1" applyAlignment="1" applyProtection="1">
      <alignment horizontal="left" vertical="center" wrapText="1" indent="1"/>
      <protection/>
    </xf>
    <xf numFmtId="0" fontId="12" fillId="0" borderId="10" xfId="67" applyFont="1" applyFill="1" applyBorder="1" applyAlignment="1" applyProtection="1">
      <alignment horizontal="center" vertical="center" wrapText="1"/>
      <protection/>
    </xf>
    <xf numFmtId="0" fontId="12" fillId="0" borderId="10" xfId="67" applyFont="1" applyFill="1" applyBorder="1" applyAlignment="1" applyProtection="1">
      <alignment horizontal="left" vertical="center" wrapText="1" indent="2"/>
      <protection/>
    </xf>
    <xf numFmtId="0" fontId="12" fillId="0" borderId="10" xfId="67" applyFont="1" applyFill="1" applyBorder="1" applyAlignment="1" applyProtection="1" quotePrefix="1">
      <alignment horizontal="center" vertical="center" wrapText="1"/>
      <protection/>
    </xf>
    <xf numFmtId="0" fontId="20" fillId="33" borderId="10" xfId="67" applyFont="1" applyFill="1" applyBorder="1" applyAlignment="1" applyProtection="1" quotePrefix="1">
      <alignment horizontal="center" vertical="center" wrapText="1"/>
      <protection/>
    </xf>
    <xf numFmtId="0" fontId="20" fillId="33" borderId="10" xfId="67" applyFont="1" applyFill="1" applyBorder="1" applyAlignment="1" applyProtection="1" quotePrefix="1">
      <alignment horizontal="left" vertical="center" wrapText="1" indent="1"/>
      <protection/>
    </xf>
    <xf numFmtId="0" fontId="12" fillId="0" borderId="10" xfId="66" applyFont="1" applyFill="1" applyBorder="1" applyAlignment="1" applyProtection="1">
      <alignment horizontal="left" vertical="center" wrapText="1" indent="2"/>
      <protection/>
    </xf>
    <xf numFmtId="0" fontId="12" fillId="0" borderId="10" xfId="66" applyFont="1" applyFill="1" applyBorder="1" applyAlignment="1" applyProtection="1" quotePrefix="1">
      <alignment horizontal="left" vertical="center" wrapText="1" indent="2"/>
      <protection/>
    </xf>
    <xf numFmtId="0" fontId="15" fillId="0" borderId="10" xfId="67" applyFont="1" applyFill="1" applyBorder="1" applyAlignment="1" applyProtection="1">
      <alignment horizontal="center" vertical="center" wrapText="1"/>
      <protection/>
    </xf>
    <xf numFmtId="0" fontId="15" fillId="0" borderId="10" xfId="67" applyFont="1" applyFill="1" applyBorder="1" applyAlignment="1" applyProtection="1">
      <alignment horizontal="left" vertical="center" wrapText="1" indent="3"/>
      <protection/>
    </xf>
    <xf numFmtId="0" fontId="15" fillId="0" borderId="10" xfId="67" applyFont="1" applyFill="1" applyBorder="1" applyAlignment="1" applyProtection="1">
      <alignment horizontal="left" vertical="center" wrapText="1" indent="2"/>
      <protection/>
    </xf>
    <xf numFmtId="0" fontId="12" fillId="33" borderId="10" xfId="67" applyFont="1" applyFill="1" applyBorder="1" applyAlignment="1" applyProtection="1">
      <alignment horizontal="left" vertical="center" wrapText="1" indent="2"/>
      <protection/>
    </xf>
    <xf numFmtId="0" fontId="12" fillId="0" borderId="10" xfId="66" applyFont="1" applyFill="1" applyBorder="1" applyAlignment="1" applyProtection="1">
      <alignment horizontal="left" vertical="center" wrapText="1" indent="2"/>
      <protection/>
    </xf>
    <xf numFmtId="0" fontId="15" fillId="0" borderId="10" xfId="67" applyFont="1" applyFill="1" applyBorder="1" applyAlignment="1" applyProtection="1">
      <alignment horizontal="center" vertical="center" wrapText="1"/>
      <protection/>
    </xf>
    <xf numFmtId="0" fontId="15" fillId="0" borderId="10" xfId="66" applyFont="1" applyFill="1" applyBorder="1" applyAlignment="1" applyProtection="1">
      <alignment horizontal="left" vertical="center" wrapText="1" indent="3"/>
      <protection/>
    </xf>
    <xf numFmtId="0" fontId="15" fillId="0" borderId="10" xfId="66" applyFont="1" applyFill="1" applyBorder="1" applyAlignment="1" applyProtection="1">
      <alignment horizontal="left" vertical="center" wrapText="1" indent="4"/>
      <protection/>
    </xf>
    <xf numFmtId="0" fontId="20" fillId="33" borderId="10" xfId="66" applyFont="1" applyFill="1" applyBorder="1" applyAlignment="1" applyProtection="1">
      <alignment horizontal="center" vertical="center" wrapText="1"/>
      <protection/>
    </xf>
    <xf numFmtId="0" fontId="20" fillId="33" borderId="10" xfId="66" applyFont="1" applyFill="1" applyBorder="1" applyAlignment="1" applyProtection="1">
      <alignment horizontal="left" vertical="center" wrapText="1" indent="1"/>
      <protection/>
    </xf>
    <xf numFmtId="0" fontId="20" fillId="33" borderId="11" xfId="66" applyFont="1" applyFill="1" applyBorder="1" applyAlignment="1" applyProtection="1">
      <alignment horizontal="left" vertical="center" wrapText="1" indent="1"/>
      <protection/>
    </xf>
    <xf numFmtId="0" fontId="20" fillId="33" borderId="11" xfId="67" applyFont="1" applyFill="1" applyBorder="1" applyAlignment="1" applyProtection="1">
      <alignment horizontal="left" vertical="center" wrapText="1" indent="1"/>
      <protection/>
    </xf>
    <xf numFmtId="3" fontId="14" fillId="33" borderId="10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0" xfId="67" applyFont="1" applyFill="1" applyBorder="1" applyAlignment="1" applyProtection="1">
      <alignment horizontal="left" vertical="center" wrapText="1" indent="2"/>
      <protection/>
    </xf>
    <xf numFmtId="0" fontId="4" fillId="0" borderId="10" xfId="67" applyFont="1" applyFill="1" applyBorder="1" applyAlignment="1" applyProtection="1">
      <alignment horizontal="center" vertical="center" wrapText="1"/>
      <protection/>
    </xf>
    <xf numFmtId="3" fontId="11" fillId="34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 applyProtection="1">
      <alignment horizontal="right" vertical="center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/>
    </xf>
    <xf numFmtId="3" fontId="13" fillId="33" borderId="10" xfId="0" applyNumberFormat="1" applyFont="1" applyFill="1" applyBorder="1" applyAlignment="1" applyProtection="1">
      <alignment horizontal="right" vertical="center"/>
      <protection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/>
    </xf>
    <xf numFmtId="3" fontId="11" fillId="34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Alignment="1" applyProtection="1">
      <alignment vertical="center"/>
      <protection locked="0"/>
    </xf>
    <xf numFmtId="0" fontId="12" fillId="0" borderId="0" xfId="0" applyFont="1" applyFill="1" applyAlignment="1">
      <alignment horizontal="center" vertical="center"/>
    </xf>
    <xf numFmtId="0" fontId="19" fillId="35" borderId="0" xfId="0" applyFont="1" applyFill="1" applyBorder="1" applyAlignment="1" applyProtection="1">
      <alignment vertical="center"/>
      <protection locked="0"/>
    </xf>
    <xf numFmtId="0" fontId="7" fillId="0" borderId="10" xfId="67" applyFont="1" applyFill="1" applyBorder="1" applyAlignment="1" applyProtection="1">
      <alignment horizontal="left" vertical="center" wrapText="1" indent="3"/>
      <protection/>
    </xf>
    <xf numFmtId="0" fontId="4" fillId="34" borderId="10" xfId="67" applyFont="1" applyFill="1" applyBorder="1" applyAlignment="1" applyProtection="1">
      <alignment horizontal="center" vertical="center" wrapText="1"/>
      <protection/>
    </xf>
    <xf numFmtId="0" fontId="7" fillId="34" borderId="10" xfId="67" applyFont="1" applyFill="1" applyBorder="1" applyAlignment="1" applyProtection="1">
      <alignment horizontal="left" vertical="center" wrapText="1" indent="3"/>
      <protection/>
    </xf>
    <xf numFmtId="0" fontId="4" fillId="34" borderId="0" xfId="0" applyFont="1" applyFill="1" applyAlignment="1" applyProtection="1">
      <alignment vertical="center"/>
      <protection locked="0"/>
    </xf>
    <xf numFmtId="0" fontId="19" fillId="0" borderId="0" xfId="0" applyFont="1" applyFill="1" applyBorder="1" applyAlignment="1">
      <alignment vertical="center" wrapText="1"/>
    </xf>
    <xf numFmtId="3" fontId="10" fillId="34" borderId="10" xfId="0" applyNumberFormat="1" applyFont="1" applyFill="1" applyBorder="1" applyAlignment="1" applyProtection="1">
      <alignment vertical="center"/>
      <protection/>
    </xf>
    <xf numFmtId="3" fontId="11" fillId="0" borderId="10" xfId="0" applyNumberFormat="1" applyFont="1" applyFill="1" applyBorder="1" applyAlignment="1" applyProtection="1">
      <alignment vertical="center"/>
      <protection/>
    </xf>
    <xf numFmtId="3" fontId="11" fillId="34" borderId="10" xfId="0" applyNumberFormat="1" applyFont="1" applyFill="1" applyBorder="1" applyAlignment="1" applyProtection="1">
      <alignment vertical="center"/>
      <protection/>
    </xf>
    <xf numFmtId="168" fontId="61" fillId="35" borderId="0" xfId="69" applyNumberFormat="1" applyFont="1" applyFill="1" applyBorder="1" applyAlignment="1" applyProtection="1">
      <alignment vertical="center"/>
      <protection locked="0"/>
    </xf>
    <xf numFmtId="3" fontId="13" fillId="36" borderId="10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Alignment="1" applyProtection="1">
      <alignment vertical="center"/>
      <protection locked="0"/>
    </xf>
    <xf numFmtId="168" fontId="14" fillId="33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10" fontId="10" fillId="0" borderId="10" xfId="0" applyNumberFormat="1" applyFont="1" applyFill="1" applyBorder="1" applyAlignment="1" applyProtection="1">
      <alignment horizontal="right" vertical="center"/>
      <protection/>
    </xf>
    <xf numFmtId="10" fontId="11" fillId="0" borderId="10" xfId="0" applyNumberFormat="1" applyFont="1" applyFill="1" applyBorder="1" applyAlignment="1" applyProtection="1">
      <alignment horizontal="right" vertical="center"/>
      <protection/>
    </xf>
    <xf numFmtId="10" fontId="13" fillId="33" borderId="10" xfId="0" applyNumberFormat="1" applyFont="1" applyFill="1" applyBorder="1" applyAlignment="1" applyProtection="1">
      <alignment horizontal="right" vertical="center"/>
      <protection locked="0"/>
    </xf>
    <xf numFmtId="10" fontId="10" fillId="0" borderId="10" xfId="0" applyNumberFormat="1" applyFont="1" applyFill="1" applyBorder="1" applyAlignment="1" applyProtection="1">
      <alignment horizontal="right" vertical="center"/>
      <protection locked="0"/>
    </xf>
    <xf numFmtId="10" fontId="13" fillId="33" borderId="10" xfId="0" applyNumberFormat="1" applyFont="1" applyFill="1" applyBorder="1" applyAlignment="1" applyProtection="1">
      <alignment horizontal="right" vertical="center"/>
      <protection/>
    </xf>
    <xf numFmtId="10" fontId="13" fillId="33" borderId="10" xfId="0" applyNumberFormat="1" applyFont="1" applyFill="1" applyBorder="1" applyAlignment="1">
      <alignment horizontal="right" vertical="center"/>
    </xf>
    <xf numFmtId="10" fontId="11" fillId="0" borderId="10" xfId="0" applyNumberFormat="1" applyFont="1" applyFill="1" applyBorder="1" applyAlignment="1">
      <alignment horizontal="right" vertical="center"/>
    </xf>
    <xf numFmtId="3" fontId="13" fillId="33" borderId="10" xfId="0" applyNumberFormat="1" applyFont="1" applyFill="1" applyBorder="1" applyAlignment="1" applyProtection="1">
      <alignment horizontal="right" vertical="center"/>
      <protection locked="0"/>
    </xf>
    <xf numFmtId="10" fontId="13" fillId="33" borderId="10" xfId="0" applyNumberFormat="1" applyFont="1" applyFill="1" applyBorder="1" applyAlignment="1" applyProtection="1">
      <alignment vertical="center"/>
      <protection locked="0"/>
    </xf>
    <xf numFmtId="10" fontId="11" fillId="33" borderId="10" xfId="0" applyNumberFormat="1" applyFont="1" applyFill="1" applyBorder="1" applyAlignment="1">
      <alignment horizontal="right" vertical="center"/>
    </xf>
    <xf numFmtId="10" fontId="14" fillId="33" borderId="1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1" fillId="33" borderId="10" xfId="65" applyFont="1" applyFill="1" applyBorder="1" applyAlignment="1" applyProtection="1">
      <alignment horizontal="center" vertical="center" wrapText="1"/>
      <protection/>
    </xf>
    <xf numFmtId="3" fontId="20" fillId="33" borderId="12" xfId="0" applyNumberFormat="1" applyFont="1" applyFill="1" applyBorder="1" applyAlignment="1" applyProtection="1">
      <alignment horizontal="center" vertical="center" wrapText="1"/>
      <protection locked="0"/>
    </xf>
    <xf numFmtId="3" fontId="20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left" vertical="top" wrapText="1"/>
      <protection locked="0"/>
    </xf>
    <xf numFmtId="3" fontId="2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left" vertical="center" wrapText="1"/>
      <protection locked="0"/>
    </xf>
  </cellXfs>
  <cellStyles count="65">
    <cellStyle name="Normal" xfId="0"/>
    <cellStyle name="_PERSONAL" xfId="15"/>
    <cellStyle name="_PERSONAL_1" xfId="16"/>
    <cellStyle name="_PERSONAL_1_dialKartaDziałkiczI (2)" xfId="17"/>
    <cellStyle name="_PERSONAL_1_dialTabelaIDSP (2)" xfId="18"/>
    <cellStyle name="_PERSONAL_1_dialTabelaIIAIWO (2)" xfId="19"/>
    <cellStyle name="_PERSONAL_1_EDUKACJA" xfId="20"/>
    <cellStyle name="_PERSONAL_1_Tabela wskaźników" xfId="21"/>
    <cellStyle name="_PERSONAL_1_Zeszyt3" xfId="22"/>
    <cellStyle name="20% - akcent 1" xfId="23"/>
    <cellStyle name="20% - akcent 2" xfId="24"/>
    <cellStyle name="20% - akcent 3" xfId="25"/>
    <cellStyle name="20% - akcent 4" xfId="26"/>
    <cellStyle name="20% - akcent 5" xfId="27"/>
    <cellStyle name="20% - akcent 6" xfId="28"/>
    <cellStyle name="40% - akcent 1" xfId="29"/>
    <cellStyle name="40% - akcent 2" xfId="30"/>
    <cellStyle name="40% - akcent 3" xfId="31"/>
    <cellStyle name="40% - akcent 4" xfId="32"/>
    <cellStyle name="40% - akcent 5" xfId="33"/>
    <cellStyle name="40% - akcent 6" xfId="34"/>
    <cellStyle name="60% - akcent 1" xfId="35"/>
    <cellStyle name="60% - akcent 2" xfId="36"/>
    <cellStyle name="60% - akcent 3" xfId="37"/>
    <cellStyle name="60% - akcent 4" xfId="38"/>
    <cellStyle name="60% - akcent 5" xfId="39"/>
    <cellStyle name="60% - akcent 6" xfId="40"/>
    <cellStyle name="Akcent 1" xfId="41"/>
    <cellStyle name="Akcent 2" xfId="42"/>
    <cellStyle name="Akcent 3" xfId="43"/>
    <cellStyle name="Akcent 4" xfId="44"/>
    <cellStyle name="Akcent 5" xfId="45"/>
    <cellStyle name="Akcent 6" xfId="46"/>
    <cellStyle name="Comma [0]_laroux" xfId="47"/>
    <cellStyle name="Comma_laroux" xfId="48"/>
    <cellStyle name="Currency [0]_laroux" xfId="49"/>
    <cellStyle name="Currency_laroux" xfId="50"/>
    <cellStyle name="Dane wejściowe" xfId="51"/>
    <cellStyle name="Dane wyjściowe" xfId="52"/>
    <cellStyle name="Dobre" xfId="53"/>
    <cellStyle name="Comma" xfId="54"/>
    <cellStyle name="Comma [0]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e" xfId="62"/>
    <cellStyle name="Normal_laroux" xfId="63"/>
    <cellStyle name="normální_laroux" xfId="64"/>
    <cellStyle name="Normalny_03PlFin_0403" xfId="65"/>
    <cellStyle name="Normalny_WfMgkr1" xfId="66"/>
    <cellStyle name="Normalny_Wzór z 09.10.2001" xfId="67"/>
    <cellStyle name="Obliczenia" xfId="68"/>
    <cellStyle name="Percent" xfId="69"/>
    <cellStyle name="Styl 1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Złe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1\d\Baza%20Danych%201999\Plany%20Finansowe\Ok\17P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katarzyna.sadowska\Ustawienia%20lokalne\Temporary%20Internet%20Files\OLK78\Baza%20Danych%201999\Plany%20Finansowe\Ok\17P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1\d\Baza%20Danych%201999\Plany%20Finansowe\Ok\01p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arcin\Baza\Prognozy\Progn%20przychod&#243;w%20i%20koszt&#243;w%202013-2015\Prognoza%20przychod&#243;w%202013-2015\Prognoza%20przychod&#243;w%202012-2015%20-%20&#322;&#261;cznie%20-%2015-06-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17PW"/>
      <sheetName val="01p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01pw"/>
    </sheetNames>
    <definedNames>
      <definedName name="PETLA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P-PK 2012-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07"/>
  <sheetViews>
    <sheetView showGridLines="0" tabSelected="1" view="pageBreakPreview" zoomScale="55" zoomScaleNormal="55" zoomScaleSheetLayoutView="55" zoomScalePageLayoutView="0" workbookViewId="0" topLeftCell="A1">
      <pane xSplit="2" ySplit="6" topLeftCell="C25" activePane="bottomRight" state="frozen"/>
      <selection pane="topLeft" activeCell="A2" sqref="A2:B2"/>
      <selection pane="topRight" activeCell="A2" sqref="A2:B2"/>
      <selection pane="bottomLeft" activeCell="A2" sqref="A2:B2"/>
      <selection pane="bottomRight" activeCell="D95" sqref="D95"/>
    </sheetView>
  </sheetViews>
  <sheetFormatPr defaultColWidth="9.00390625" defaultRowHeight="12.75"/>
  <cols>
    <col min="1" max="1" width="10.375" style="20" customWidth="1"/>
    <col min="2" max="2" width="125.875" style="20" customWidth="1"/>
    <col min="3" max="3" width="26.75390625" style="6" customWidth="1"/>
    <col min="4" max="4" width="26.875" style="6" customWidth="1"/>
    <col min="5" max="6" width="20.75390625" style="6" customWidth="1"/>
    <col min="7" max="16384" width="9.125" style="6" customWidth="1"/>
  </cols>
  <sheetData>
    <row r="1" spans="1:6" s="74" customFormat="1" ht="54.75" customHeight="1">
      <c r="A1" s="117" t="s">
        <v>207</v>
      </c>
      <c r="B1" s="117"/>
      <c r="C1" s="117"/>
      <c r="D1" s="117"/>
      <c r="E1" s="117"/>
      <c r="F1" s="117"/>
    </row>
    <row r="2" spans="1:3" s="48" customFormat="1" ht="35.25" customHeight="1">
      <c r="A2" s="113" t="s">
        <v>200</v>
      </c>
      <c r="B2" s="113"/>
      <c r="C2" s="92"/>
    </row>
    <row r="3" spans="1:5" s="9" customFormat="1" ht="36" customHeight="1">
      <c r="A3" s="7"/>
      <c r="B3" s="8"/>
      <c r="C3" s="86"/>
      <c r="D3" s="86"/>
      <c r="E3" s="86" t="s">
        <v>166</v>
      </c>
    </row>
    <row r="4" spans="1:6" s="10" customFormat="1" ht="38.25" customHeight="1">
      <c r="A4" s="114" t="s">
        <v>137</v>
      </c>
      <c r="B4" s="114" t="s">
        <v>56</v>
      </c>
      <c r="C4" s="115" t="s">
        <v>206</v>
      </c>
      <c r="D4" s="115" t="s">
        <v>203</v>
      </c>
      <c r="E4" s="118" t="s">
        <v>204</v>
      </c>
      <c r="F4" s="118" t="s">
        <v>205</v>
      </c>
    </row>
    <row r="5" spans="1:6" s="10" customFormat="1" ht="49.5" customHeight="1">
      <c r="A5" s="114"/>
      <c r="B5" s="114"/>
      <c r="C5" s="116"/>
      <c r="D5" s="116"/>
      <c r="E5" s="118"/>
      <c r="F5" s="118"/>
    </row>
    <row r="6" spans="1:6" s="11" customFormat="1" ht="19.5" customHeight="1">
      <c r="A6" s="46">
        <v>1</v>
      </c>
      <c r="B6" s="51">
        <v>2</v>
      </c>
      <c r="C6" s="46">
        <v>3</v>
      </c>
      <c r="D6" s="51">
        <v>4</v>
      </c>
      <c r="E6" s="46">
        <v>5</v>
      </c>
      <c r="F6" s="51">
        <v>6</v>
      </c>
    </row>
    <row r="7" spans="1:6" s="13" customFormat="1" ht="63.75" customHeight="1">
      <c r="A7" s="52">
        <v>1</v>
      </c>
      <c r="B7" s="53" t="s">
        <v>135</v>
      </c>
      <c r="C7" s="12">
        <f>C8+C9</f>
        <v>64237866</v>
      </c>
      <c r="D7" s="12">
        <f>D8+D9</f>
        <v>64237866</v>
      </c>
      <c r="E7" s="12" t="str">
        <f>IF(C7=D7,"-",D7-C7)</f>
        <v>-</v>
      </c>
      <c r="F7" s="106">
        <f>IF(C7=0,"-",D7/C7)</f>
        <v>1</v>
      </c>
    </row>
    <row r="8" spans="1:6" ht="30" customHeight="1">
      <c r="A8" s="54" t="s">
        <v>79</v>
      </c>
      <c r="B8" s="55" t="s">
        <v>80</v>
      </c>
      <c r="C8" s="14">
        <v>61009273</v>
      </c>
      <c r="D8" s="14">
        <f>C8</f>
        <v>61009273</v>
      </c>
      <c r="E8" s="14" t="str">
        <f aca="true" t="shared" si="0" ref="E8:E78">IF(C8=D8,"-",D8-C8)</f>
        <v>-</v>
      </c>
      <c r="F8" s="107">
        <f aca="true" t="shared" si="1" ref="F8:F78">IF(C8=0,"-",D8/C8)</f>
        <v>1</v>
      </c>
    </row>
    <row r="9" spans="1:6" ht="30" customHeight="1">
      <c r="A9" s="54" t="s">
        <v>81</v>
      </c>
      <c r="B9" s="55" t="s">
        <v>82</v>
      </c>
      <c r="C9" s="14">
        <v>3228593</v>
      </c>
      <c r="D9" s="14">
        <f>C9</f>
        <v>3228593</v>
      </c>
      <c r="E9" s="14" t="str">
        <f t="shared" si="0"/>
        <v>-</v>
      </c>
      <c r="F9" s="107">
        <f t="shared" si="1"/>
        <v>1</v>
      </c>
    </row>
    <row r="10" spans="1:6" s="13" customFormat="1" ht="63.75" customHeight="1">
      <c r="A10" s="52">
        <v>2</v>
      </c>
      <c r="B10" s="53" t="s">
        <v>132</v>
      </c>
      <c r="C10" s="12">
        <f>C11+C12</f>
        <v>0</v>
      </c>
      <c r="D10" s="12">
        <f>D11+D12</f>
        <v>0</v>
      </c>
      <c r="E10" s="12" t="str">
        <f t="shared" si="0"/>
        <v>-</v>
      </c>
      <c r="F10" s="106" t="str">
        <f t="shared" si="1"/>
        <v>-</v>
      </c>
    </row>
    <row r="11" spans="1:6" ht="30" customHeight="1">
      <c r="A11" s="54" t="s">
        <v>83</v>
      </c>
      <c r="B11" s="55" t="s">
        <v>84</v>
      </c>
      <c r="C11" s="14">
        <v>0</v>
      </c>
      <c r="D11" s="14">
        <f>C11</f>
        <v>0</v>
      </c>
      <c r="E11" s="14" t="str">
        <f t="shared" si="0"/>
        <v>-</v>
      </c>
      <c r="F11" s="107" t="str">
        <f t="shared" si="1"/>
        <v>-</v>
      </c>
    </row>
    <row r="12" spans="1:6" ht="30" customHeight="1">
      <c r="A12" s="54" t="s">
        <v>85</v>
      </c>
      <c r="B12" s="55" t="s">
        <v>86</v>
      </c>
      <c r="C12" s="14">
        <v>0</v>
      </c>
      <c r="D12" s="14">
        <f>C12</f>
        <v>0</v>
      </c>
      <c r="E12" s="14" t="str">
        <f t="shared" si="0"/>
        <v>-</v>
      </c>
      <c r="F12" s="107" t="str">
        <f t="shared" si="1"/>
        <v>-</v>
      </c>
    </row>
    <row r="13" spans="1:6" s="13" customFormat="1" ht="39.75" customHeight="1">
      <c r="A13" s="52">
        <v>3</v>
      </c>
      <c r="B13" s="53" t="s">
        <v>87</v>
      </c>
      <c r="C13" s="12">
        <f>C14+C15</f>
        <v>100000</v>
      </c>
      <c r="D13" s="12">
        <f>D14+D15</f>
        <v>100000</v>
      </c>
      <c r="E13" s="12" t="str">
        <f t="shared" si="0"/>
        <v>-</v>
      </c>
      <c r="F13" s="106">
        <f t="shared" si="1"/>
        <v>1</v>
      </c>
    </row>
    <row r="14" spans="1:6" ht="30" customHeight="1">
      <c r="A14" s="54" t="s">
        <v>88</v>
      </c>
      <c r="B14" s="55" t="s">
        <v>80</v>
      </c>
      <c r="C14" s="14">
        <v>100000</v>
      </c>
      <c r="D14" s="14">
        <f>C14</f>
        <v>100000</v>
      </c>
      <c r="E14" s="14" t="str">
        <f t="shared" si="0"/>
        <v>-</v>
      </c>
      <c r="F14" s="107">
        <f t="shared" si="1"/>
        <v>1</v>
      </c>
    </row>
    <row r="15" spans="1:6" ht="30" customHeight="1">
      <c r="A15" s="54" t="s">
        <v>89</v>
      </c>
      <c r="B15" s="55" t="s">
        <v>82</v>
      </c>
      <c r="C15" s="14">
        <v>0</v>
      </c>
      <c r="D15" s="14">
        <f>C15</f>
        <v>0</v>
      </c>
      <c r="E15" s="14" t="str">
        <f t="shared" si="0"/>
        <v>-</v>
      </c>
      <c r="F15" s="107" t="str">
        <f t="shared" si="1"/>
        <v>-</v>
      </c>
    </row>
    <row r="16" spans="1:6" s="13" customFormat="1" ht="39" customHeight="1">
      <c r="A16" s="52">
        <v>4</v>
      </c>
      <c r="B16" s="53" t="s">
        <v>191</v>
      </c>
      <c r="C16" s="12">
        <f>C17+C18</f>
        <v>123531</v>
      </c>
      <c r="D16" s="12">
        <f>D17+D18</f>
        <v>123531</v>
      </c>
      <c r="E16" s="12" t="str">
        <f t="shared" si="0"/>
        <v>-</v>
      </c>
      <c r="F16" s="106">
        <f t="shared" si="1"/>
        <v>1</v>
      </c>
    </row>
    <row r="17" spans="1:6" ht="30" customHeight="1">
      <c r="A17" s="56" t="s">
        <v>90</v>
      </c>
      <c r="B17" s="55" t="s">
        <v>91</v>
      </c>
      <c r="C17" s="14">
        <f>ROUND(C8*0.99*0.002,0)</f>
        <v>120798</v>
      </c>
      <c r="D17" s="14">
        <f>C17</f>
        <v>120798</v>
      </c>
      <c r="E17" s="14" t="str">
        <f t="shared" si="0"/>
        <v>-</v>
      </c>
      <c r="F17" s="107">
        <f t="shared" si="1"/>
        <v>1</v>
      </c>
    </row>
    <row r="18" spans="1:6" ht="30" customHeight="1">
      <c r="A18" s="56" t="s">
        <v>92</v>
      </c>
      <c r="B18" s="55" t="s">
        <v>93</v>
      </c>
      <c r="C18" s="14">
        <f>ROUND((C9-1862004)*0.002,0)</f>
        <v>2733</v>
      </c>
      <c r="D18" s="14">
        <f>C18</f>
        <v>2733</v>
      </c>
      <c r="E18" s="14" t="str">
        <f t="shared" si="0"/>
        <v>-</v>
      </c>
      <c r="F18" s="107">
        <f t="shared" si="1"/>
        <v>1</v>
      </c>
    </row>
    <row r="19" spans="1:6" s="13" customFormat="1" ht="63.75" customHeight="1">
      <c r="A19" s="57" t="s">
        <v>150</v>
      </c>
      <c r="B19" s="58" t="s">
        <v>149</v>
      </c>
      <c r="C19" s="12">
        <f>(C7-C10+C13-C16)+C20+C21+C22+C23</f>
        <v>66423581</v>
      </c>
      <c r="D19" s="12">
        <f>(D7-D10+D13-D16)+D20+D21+D22+D23</f>
        <v>66423581</v>
      </c>
      <c r="E19" s="12" t="str">
        <f t="shared" si="0"/>
        <v>-</v>
      </c>
      <c r="F19" s="106">
        <f t="shared" si="1"/>
        <v>1</v>
      </c>
    </row>
    <row r="20" spans="1:6" ht="31.5" customHeight="1">
      <c r="A20" s="54" t="s">
        <v>94</v>
      </c>
      <c r="B20" s="59" t="s">
        <v>95</v>
      </c>
      <c r="C20" s="14">
        <v>152265</v>
      </c>
      <c r="D20" s="14">
        <f>C20</f>
        <v>152265</v>
      </c>
      <c r="E20" s="14" t="str">
        <f t="shared" si="0"/>
        <v>-</v>
      </c>
      <c r="F20" s="107">
        <f t="shared" si="1"/>
        <v>1</v>
      </c>
    </row>
    <row r="21" spans="1:6" ht="31.5" customHeight="1">
      <c r="A21" s="54" t="s">
        <v>96</v>
      </c>
      <c r="B21" s="59" t="s">
        <v>97</v>
      </c>
      <c r="C21" s="14">
        <v>0</v>
      </c>
      <c r="D21" s="14">
        <f>C21</f>
        <v>0</v>
      </c>
      <c r="E21" s="14" t="str">
        <f t="shared" si="0"/>
        <v>-</v>
      </c>
      <c r="F21" s="107" t="str">
        <f t="shared" si="1"/>
        <v>-</v>
      </c>
    </row>
    <row r="22" spans="1:6" ht="50.25" customHeight="1">
      <c r="A22" s="54" t="s">
        <v>98</v>
      </c>
      <c r="B22" s="59" t="s">
        <v>192</v>
      </c>
      <c r="C22" s="14">
        <f>ROUND(203112*103.5%,0)+ROUND(6636*103.5%,0)</f>
        <v>217089</v>
      </c>
      <c r="D22" s="14">
        <f>C22</f>
        <v>217089</v>
      </c>
      <c r="E22" s="14" t="str">
        <f t="shared" si="0"/>
        <v>-</v>
      </c>
      <c r="F22" s="107">
        <f t="shared" si="1"/>
        <v>1</v>
      </c>
    </row>
    <row r="23" spans="1:6" ht="31.5" customHeight="1">
      <c r="A23" s="54" t="s">
        <v>99</v>
      </c>
      <c r="B23" s="60" t="s">
        <v>100</v>
      </c>
      <c r="C23" s="14">
        <v>1839892</v>
      </c>
      <c r="D23" s="14">
        <f>C23</f>
        <v>1839892</v>
      </c>
      <c r="E23" s="14" t="str">
        <f t="shared" si="0"/>
        <v>-</v>
      </c>
      <c r="F23" s="107">
        <f t="shared" si="1"/>
        <v>1</v>
      </c>
    </row>
    <row r="24" spans="1:6" s="13" customFormat="1" ht="36" customHeight="1">
      <c r="A24" s="57" t="s">
        <v>151</v>
      </c>
      <c r="B24" s="58" t="s">
        <v>131</v>
      </c>
      <c r="C24" s="12">
        <f>C25+C26+C53+C54</f>
        <v>65456971</v>
      </c>
      <c r="D24" s="12">
        <f>D25+D26+D53+D54</f>
        <v>65456971</v>
      </c>
      <c r="E24" s="12" t="str">
        <f t="shared" si="0"/>
        <v>-</v>
      </c>
      <c r="F24" s="106">
        <f t="shared" si="1"/>
        <v>1</v>
      </c>
    </row>
    <row r="25" spans="1:6" s="13" customFormat="1" ht="36" customHeight="1">
      <c r="A25" s="57" t="s">
        <v>101</v>
      </c>
      <c r="B25" s="58" t="s">
        <v>102</v>
      </c>
      <c r="C25" s="12">
        <f>ROUND(C7/100,0)</f>
        <v>642379</v>
      </c>
      <c r="D25" s="12">
        <f>C25</f>
        <v>642379</v>
      </c>
      <c r="E25" s="12" t="str">
        <f t="shared" si="0"/>
        <v>-</v>
      </c>
      <c r="F25" s="106">
        <f t="shared" si="1"/>
        <v>1</v>
      </c>
    </row>
    <row r="26" spans="1:6" s="13" customFormat="1" ht="36" customHeight="1">
      <c r="A26" s="57" t="s">
        <v>0</v>
      </c>
      <c r="B26" s="58" t="s">
        <v>196</v>
      </c>
      <c r="C26" s="23">
        <f>C27+C28+C29+C34+C35+C36+C37+C38+C39+C40+C41+C42+C43+C44+C48+C49+C51+C52</f>
        <v>62974700</v>
      </c>
      <c r="D26" s="23">
        <f>D27+D28+D29+D34+D35+D36+D37+D38+D39+D40+D41+D42+D43+D44+D48+D49+D51+D52</f>
        <v>62974700</v>
      </c>
      <c r="E26" s="108" t="str">
        <f>IF(C26=D26,"-",D26-C26)</f>
        <v>-</v>
      </c>
      <c r="F26" s="109">
        <f t="shared" si="1"/>
        <v>1</v>
      </c>
    </row>
    <row r="27" spans="1:6" ht="30" customHeight="1">
      <c r="A27" s="61" t="s">
        <v>1</v>
      </c>
      <c r="B27" s="63" t="s">
        <v>138</v>
      </c>
      <c r="C27" s="14">
        <f>CENTRALA!C8+'Razem OW'!C8</f>
        <v>7633992</v>
      </c>
      <c r="D27" s="14">
        <f>CENTRALA!D8+'Razem OW'!D8</f>
        <v>7633992</v>
      </c>
      <c r="E27" s="78" t="str">
        <f t="shared" si="0"/>
        <v>-</v>
      </c>
      <c r="F27" s="107">
        <f t="shared" si="1"/>
        <v>1</v>
      </c>
    </row>
    <row r="28" spans="1:6" ht="30" customHeight="1">
      <c r="A28" s="61" t="s">
        <v>2</v>
      </c>
      <c r="B28" s="63" t="s">
        <v>139</v>
      </c>
      <c r="C28" s="14">
        <f>CENTRALA!C9+'Razem OW'!C9</f>
        <v>5092112</v>
      </c>
      <c r="D28" s="14">
        <f>CENTRALA!D9+'Razem OW'!D9</f>
        <v>5271651</v>
      </c>
      <c r="E28" s="78">
        <f>IF(C28=D28,"-",D28-C28)</f>
        <v>179539</v>
      </c>
      <c r="F28" s="107">
        <f t="shared" si="1"/>
        <v>1.0353</v>
      </c>
    </row>
    <row r="29" spans="1:6" ht="30" customHeight="1">
      <c r="A29" s="61" t="s">
        <v>3</v>
      </c>
      <c r="B29" s="63" t="s">
        <v>136</v>
      </c>
      <c r="C29" s="78">
        <f>CENTRALA!C10+'Razem OW'!C10</f>
        <v>27239234</v>
      </c>
      <c r="D29" s="78">
        <f>CENTRALA!D10+'Razem OW'!D10</f>
        <v>29740805</v>
      </c>
      <c r="E29" s="78">
        <f t="shared" si="0"/>
        <v>2501571</v>
      </c>
      <c r="F29" s="107">
        <f t="shared" si="1"/>
        <v>1.0918</v>
      </c>
    </row>
    <row r="30" spans="1:6" ht="30" customHeight="1">
      <c r="A30" s="61" t="s">
        <v>58</v>
      </c>
      <c r="B30" s="62" t="s">
        <v>167</v>
      </c>
      <c r="C30" s="14">
        <f>CENTRALA!C11+'Razem OW'!C11</f>
        <v>1923499</v>
      </c>
      <c r="D30" s="14">
        <f>CENTRALA!D11+'Razem OW'!D11</f>
        <v>2099881</v>
      </c>
      <c r="E30" s="78">
        <f t="shared" si="0"/>
        <v>176382</v>
      </c>
      <c r="F30" s="107">
        <f t="shared" si="1"/>
        <v>1.0917</v>
      </c>
    </row>
    <row r="31" spans="1:6" ht="30" customHeight="1">
      <c r="A31" s="61" t="s">
        <v>168</v>
      </c>
      <c r="B31" s="62" t="s">
        <v>171</v>
      </c>
      <c r="C31" s="14">
        <f>CENTRALA!C12+'Razem OW'!C12</f>
        <v>1716786</v>
      </c>
      <c r="D31" s="14">
        <f>CENTRALA!D12+'Razem OW'!D12</f>
        <v>1875041</v>
      </c>
      <c r="E31" s="78">
        <f t="shared" si="0"/>
        <v>158255</v>
      </c>
      <c r="F31" s="107">
        <f t="shared" si="1"/>
        <v>1.0922</v>
      </c>
    </row>
    <row r="32" spans="1:6" ht="30" customHeight="1">
      <c r="A32" s="61" t="s">
        <v>169</v>
      </c>
      <c r="B32" s="62" t="s">
        <v>172</v>
      </c>
      <c r="C32" s="14">
        <f>CENTRALA!C13+'Razem OW'!C13</f>
        <v>1344999</v>
      </c>
      <c r="D32" s="14">
        <f>CENTRALA!D13+'Razem OW'!D13</f>
        <v>1490228</v>
      </c>
      <c r="E32" s="78">
        <f t="shared" si="0"/>
        <v>145229</v>
      </c>
      <c r="F32" s="107">
        <f t="shared" si="1"/>
        <v>1.108</v>
      </c>
    </row>
    <row r="33" spans="1:6" ht="30" customHeight="1">
      <c r="A33" s="61" t="s">
        <v>170</v>
      </c>
      <c r="B33" s="62" t="s">
        <v>173</v>
      </c>
      <c r="C33" s="14">
        <f>CENTRALA!C14+'Razem OW'!C14</f>
        <v>671306</v>
      </c>
      <c r="D33" s="14">
        <f>CENTRALA!D14+'Razem OW'!D14</f>
        <v>739546</v>
      </c>
      <c r="E33" s="78">
        <f t="shared" si="0"/>
        <v>68240</v>
      </c>
      <c r="F33" s="107">
        <f t="shared" si="1"/>
        <v>1.1017</v>
      </c>
    </row>
    <row r="34" spans="1:6" ht="30" customHeight="1">
      <c r="A34" s="61" t="s">
        <v>4</v>
      </c>
      <c r="B34" s="63" t="s">
        <v>144</v>
      </c>
      <c r="C34" s="14">
        <f>CENTRALA!C15+'Razem OW'!C15</f>
        <v>2032467</v>
      </c>
      <c r="D34" s="14">
        <f>CENTRALA!D15+'Razem OW'!D15</f>
        <v>2290415</v>
      </c>
      <c r="E34" s="78">
        <f t="shared" si="0"/>
        <v>257948</v>
      </c>
      <c r="F34" s="107">
        <f t="shared" si="1"/>
        <v>1.1269</v>
      </c>
    </row>
    <row r="35" spans="1:6" ht="30" customHeight="1">
      <c r="A35" s="61" t="s">
        <v>5</v>
      </c>
      <c r="B35" s="63" t="s">
        <v>140</v>
      </c>
      <c r="C35" s="14">
        <f>CENTRALA!C16+'Razem OW'!C16</f>
        <v>1931357</v>
      </c>
      <c r="D35" s="14">
        <f>CENTRALA!D16+'Razem OW'!D16</f>
        <v>2062509</v>
      </c>
      <c r="E35" s="78">
        <f t="shared" si="0"/>
        <v>131152</v>
      </c>
      <c r="F35" s="107">
        <f t="shared" si="1"/>
        <v>1.0679</v>
      </c>
    </row>
    <row r="36" spans="1:6" ht="30" customHeight="1">
      <c r="A36" s="61" t="s">
        <v>6</v>
      </c>
      <c r="B36" s="63" t="s">
        <v>146</v>
      </c>
      <c r="C36" s="14">
        <f>CENTRALA!C17+'Razem OW'!C17</f>
        <v>1038767</v>
      </c>
      <c r="D36" s="14">
        <f>CENTRALA!D17+'Razem OW'!D17</f>
        <v>1089669</v>
      </c>
      <c r="E36" s="78">
        <f t="shared" si="0"/>
        <v>50902</v>
      </c>
      <c r="F36" s="107">
        <f t="shared" si="1"/>
        <v>1.049</v>
      </c>
    </row>
    <row r="37" spans="1:6" ht="30" customHeight="1">
      <c r="A37" s="61" t="s">
        <v>7</v>
      </c>
      <c r="B37" s="63" t="s">
        <v>145</v>
      </c>
      <c r="C37" s="14">
        <f>CENTRALA!C18+'Razem OW'!C18</f>
        <v>340729</v>
      </c>
      <c r="D37" s="14">
        <f>CENTRALA!D18+'Razem OW'!D18</f>
        <v>354498</v>
      </c>
      <c r="E37" s="78">
        <f>IF(C37=D37,"-",D37-C37)</f>
        <v>13769</v>
      </c>
      <c r="F37" s="107">
        <f>IF(C37=0,"-",D37/C37)</f>
        <v>1.0404</v>
      </c>
    </row>
    <row r="38" spans="1:6" ht="30" customHeight="1">
      <c r="A38" s="61" t="s">
        <v>8</v>
      </c>
      <c r="B38" s="63" t="s">
        <v>141</v>
      </c>
      <c r="C38" s="14">
        <f>CENTRALA!C19+'Razem OW'!C19</f>
        <v>1774433</v>
      </c>
      <c r="D38" s="14">
        <f>CENTRALA!D19+'Razem OW'!D19</f>
        <v>1824612</v>
      </c>
      <c r="E38" s="78">
        <f t="shared" si="0"/>
        <v>50179</v>
      </c>
      <c r="F38" s="107">
        <f t="shared" si="1"/>
        <v>1.0283</v>
      </c>
    </row>
    <row r="39" spans="1:6" ht="30" customHeight="1">
      <c r="A39" s="61" t="s">
        <v>9</v>
      </c>
      <c r="B39" s="63" t="s">
        <v>142</v>
      </c>
      <c r="C39" s="14">
        <f>CENTRALA!C20+'Razem OW'!C20</f>
        <v>622327</v>
      </c>
      <c r="D39" s="14">
        <f>CENTRALA!D20+'Razem OW'!D20</f>
        <v>622327</v>
      </c>
      <c r="E39" s="78" t="str">
        <f t="shared" si="0"/>
        <v>-</v>
      </c>
      <c r="F39" s="107">
        <f t="shared" si="1"/>
        <v>1</v>
      </c>
    </row>
    <row r="40" spans="1:6" ht="30" customHeight="1">
      <c r="A40" s="61" t="s">
        <v>10</v>
      </c>
      <c r="B40" s="63" t="s">
        <v>147</v>
      </c>
      <c r="C40" s="14">
        <f>CENTRALA!C21+'Razem OW'!C21</f>
        <v>46938</v>
      </c>
      <c r="D40" s="14">
        <f>CENTRALA!D21+'Razem OW'!D21</f>
        <v>46938</v>
      </c>
      <c r="E40" s="78" t="str">
        <f t="shared" si="0"/>
        <v>-</v>
      </c>
      <c r="F40" s="107">
        <f t="shared" si="1"/>
        <v>1</v>
      </c>
    </row>
    <row r="41" spans="1:6" ht="30" customHeight="1">
      <c r="A41" s="61" t="s">
        <v>11</v>
      </c>
      <c r="B41" s="63" t="s">
        <v>143</v>
      </c>
      <c r="C41" s="14">
        <f>CENTRALA!C22+'Razem OW'!C22</f>
        <v>176268</v>
      </c>
      <c r="D41" s="14">
        <f>CENTRALA!D22+'Razem OW'!D22</f>
        <v>180517</v>
      </c>
      <c r="E41" s="78">
        <f t="shared" si="0"/>
        <v>4249</v>
      </c>
      <c r="F41" s="107">
        <f t="shared" si="1"/>
        <v>1.0241</v>
      </c>
    </row>
    <row r="42" spans="1:6" ht="30" customHeight="1">
      <c r="A42" s="61" t="s">
        <v>12</v>
      </c>
      <c r="B42" s="63" t="s">
        <v>197</v>
      </c>
      <c r="C42" s="14">
        <f>CENTRALA!C23+'Razem OW'!C23</f>
        <v>1544488</v>
      </c>
      <c r="D42" s="14">
        <f>CENTRALA!D23+'Razem OW'!D23</f>
        <v>1677902</v>
      </c>
      <c r="E42" s="78">
        <f t="shared" si="0"/>
        <v>133414</v>
      </c>
      <c r="F42" s="107">
        <f t="shared" si="1"/>
        <v>1.0864</v>
      </c>
    </row>
    <row r="43" spans="1:6" ht="30" customHeight="1">
      <c r="A43" s="61" t="s">
        <v>13</v>
      </c>
      <c r="B43" s="63" t="s">
        <v>175</v>
      </c>
      <c r="C43" s="14">
        <f>CENTRALA!C24+'Razem OW'!C24</f>
        <v>864781</v>
      </c>
      <c r="D43" s="14">
        <f>CENTRALA!D24+'Razem OW'!D24</f>
        <v>864781</v>
      </c>
      <c r="E43" s="78" t="str">
        <f t="shared" si="0"/>
        <v>-</v>
      </c>
      <c r="F43" s="107">
        <f t="shared" si="1"/>
        <v>1</v>
      </c>
    </row>
    <row r="44" spans="1:6" ht="30" customHeight="1">
      <c r="A44" s="61" t="s">
        <v>14</v>
      </c>
      <c r="B44" s="63" t="s">
        <v>176</v>
      </c>
      <c r="C44" s="14">
        <f>CENTRALA!C25+'Razem OW'!C25</f>
        <v>8286496</v>
      </c>
      <c r="D44" s="14">
        <f>CENTRALA!D25+'Razem OW'!D25</f>
        <v>8286496</v>
      </c>
      <c r="E44" s="78" t="str">
        <f t="shared" si="0"/>
        <v>-</v>
      </c>
      <c r="F44" s="107">
        <f t="shared" si="1"/>
        <v>1</v>
      </c>
    </row>
    <row r="45" spans="1:6" ht="41.25" customHeight="1">
      <c r="A45" s="61" t="s">
        <v>148</v>
      </c>
      <c r="B45" s="62" t="s">
        <v>178</v>
      </c>
      <c r="C45" s="14">
        <f>CENTRALA!C26+'Razem OW'!C26</f>
        <v>8249669</v>
      </c>
      <c r="D45" s="14">
        <f>CENTRALA!D26+'Razem OW'!D26</f>
        <v>8249669</v>
      </c>
      <c r="E45" s="78" t="str">
        <f t="shared" si="0"/>
        <v>-</v>
      </c>
      <c r="F45" s="107">
        <f t="shared" si="1"/>
        <v>1</v>
      </c>
    </row>
    <row r="46" spans="1:6" ht="30" customHeight="1">
      <c r="A46" s="61" t="s">
        <v>177</v>
      </c>
      <c r="B46" s="62" t="s">
        <v>180</v>
      </c>
      <c r="C46" s="14">
        <f>CENTRALA!C27+'Razem OW'!C27</f>
        <v>27382</v>
      </c>
      <c r="D46" s="14">
        <f>CENTRALA!D27+'Razem OW'!D27</f>
        <v>27382</v>
      </c>
      <c r="E46" s="78" t="str">
        <f t="shared" si="0"/>
        <v>-</v>
      </c>
      <c r="F46" s="107">
        <f t="shared" si="1"/>
        <v>1</v>
      </c>
    </row>
    <row r="47" spans="1:6" ht="41.25" customHeight="1">
      <c r="A47" s="61" t="s">
        <v>181</v>
      </c>
      <c r="B47" s="62" t="s">
        <v>179</v>
      </c>
      <c r="C47" s="14">
        <f>CENTRALA!C28+'Razem OW'!C28</f>
        <v>9445</v>
      </c>
      <c r="D47" s="14">
        <f>CENTRALA!D28+'Razem OW'!D28</f>
        <v>9445</v>
      </c>
      <c r="E47" s="78" t="str">
        <f t="shared" si="0"/>
        <v>-</v>
      </c>
      <c r="F47" s="107">
        <f t="shared" si="1"/>
        <v>1</v>
      </c>
    </row>
    <row r="48" spans="1:6" ht="36" customHeight="1">
      <c r="A48" s="61" t="s">
        <v>15</v>
      </c>
      <c r="B48" s="63" t="s">
        <v>124</v>
      </c>
      <c r="C48" s="14">
        <f>CENTRALA!C29+'Razem OW'!C29</f>
        <v>482270</v>
      </c>
      <c r="D48" s="14">
        <f>CENTRALA!D29+'Razem OW'!D29</f>
        <v>482270</v>
      </c>
      <c r="E48" s="78" t="str">
        <f t="shared" si="0"/>
        <v>-</v>
      </c>
      <c r="F48" s="107">
        <f t="shared" si="1"/>
        <v>1</v>
      </c>
    </row>
    <row r="49" spans="1:6" ht="30" customHeight="1">
      <c r="A49" s="61" t="s">
        <v>121</v>
      </c>
      <c r="B49" s="63" t="s">
        <v>182</v>
      </c>
      <c r="C49" s="14">
        <f>CENTRALA!C30+'Razem OW'!C30</f>
        <v>6868</v>
      </c>
      <c r="D49" s="14">
        <f>CENTRALA!D30+'Razem OW'!D30</f>
        <v>6868</v>
      </c>
      <c r="E49" s="78" t="str">
        <f t="shared" si="0"/>
        <v>-</v>
      </c>
      <c r="F49" s="107">
        <f t="shared" si="1"/>
        <v>1</v>
      </c>
    </row>
    <row r="50" spans="1:6" ht="30" customHeight="1">
      <c r="A50" s="61" t="s">
        <v>183</v>
      </c>
      <c r="B50" s="63" t="s">
        <v>199</v>
      </c>
      <c r="C50" s="14">
        <f>CENTRALA!C31+'Razem OW'!C31</f>
        <v>0</v>
      </c>
      <c r="D50" s="14">
        <f>CENTRALA!D31+'Razem OW'!D31</f>
        <v>0</v>
      </c>
      <c r="E50" s="78" t="str">
        <f t="shared" si="0"/>
        <v>-</v>
      </c>
      <c r="F50" s="107" t="str">
        <f t="shared" si="1"/>
        <v>-</v>
      </c>
    </row>
    <row r="51" spans="1:6" ht="30" customHeight="1">
      <c r="A51" s="61" t="s">
        <v>122</v>
      </c>
      <c r="B51" s="63" t="s">
        <v>125</v>
      </c>
      <c r="C51" s="14">
        <f>CENTRALA!C32+'Razem OW'!C32</f>
        <v>3475633</v>
      </c>
      <c r="D51" s="14">
        <f>CENTRALA!D32+'Razem OW'!D32</f>
        <v>0</v>
      </c>
      <c r="E51" s="78">
        <f t="shared" si="0"/>
        <v>-3475633</v>
      </c>
      <c r="F51" s="107">
        <f t="shared" si="1"/>
        <v>0</v>
      </c>
    </row>
    <row r="52" spans="1:6" ht="30" customHeight="1">
      <c r="A52" s="61" t="s">
        <v>123</v>
      </c>
      <c r="B52" s="63" t="s">
        <v>198</v>
      </c>
      <c r="C52" s="14">
        <f>CENTRALA!C33+'Razem OW'!C33</f>
        <v>385540</v>
      </c>
      <c r="D52" s="14">
        <f>CENTRALA!D33+'Razem OW'!D33</f>
        <v>538450</v>
      </c>
      <c r="E52" s="78">
        <f t="shared" si="0"/>
        <v>152910</v>
      </c>
      <c r="F52" s="107">
        <f t="shared" si="1"/>
        <v>1.3966</v>
      </c>
    </row>
    <row r="53" spans="1:6" s="13" customFormat="1" ht="30.75" customHeight="1">
      <c r="A53" s="32" t="s">
        <v>60</v>
      </c>
      <c r="B53" s="64" t="s">
        <v>103</v>
      </c>
      <c r="C53" s="21">
        <f>CENTRALA!C34+'Razem OW'!C34</f>
        <v>0</v>
      </c>
      <c r="D53" s="21">
        <f>C53</f>
        <v>0</v>
      </c>
      <c r="E53" s="21" t="str">
        <f t="shared" si="0"/>
        <v>-</v>
      </c>
      <c r="F53" s="110" t="str">
        <f t="shared" si="1"/>
        <v>-</v>
      </c>
    </row>
    <row r="54" spans="1:6" s="13" customFormat="1" ht="30.75" customHeight="1">
      <c r="A54" s="32" t="s">
        <v>59</v>
      </c>
      <c r="B54" s="64" t="s">
        <v>62</v>
      </c>
      <c r="C54" s="12">
        <f>CENTRALA!C35+'Razem OW'!C35</f>
        <v>1839892</v>
      </c>
      <c r="D54" s="12">
        <f>CENTRALA!D35+'Razem OW'!D35</f>
        <v>1839892</v>
      </c>
      <c r="E54" s="12" t="str">
        <f t="shared" si="0"/>
        <v>-</v>
      </c>
      <c r="F54" s="106">
        <f t="shared" si="1"/>
        <v>1</v>
      </c>
    </row>
    <row r="55" spans="1:6" s="13" customFormat="1" ht="45.75" customHeight="1">
      <c r="A55" s="32" t="s">
        <v>184</v>
      </c>
      <c r="B55" s="64" t="s">
        <v>185</v>
      </c>
      <c r="C55" s="12">
        <f>CENTRALA!C36+'Razem OW'!C36</f>
        <v>10674588</v>
      </c>
      <c r="D55" s="12">
        <f>CENTRALA!D36+'Razem OW'!D36</f>
        <v>10901083</v>
      </c>
      <c r="E55" s="12">
        <f t="shared" si="0"/>
        <v>226495</v>
      </c>
      <c r="F55" s="106">
        <f t="shared" si="1"/>
        <v>1.0212</v>
      </c>
    </row>
    <row r="56" spans="1:6" s="13" customFormat="1" ht="33" customHeight="1">
      <c r="A56" s="52" t="s">
        <v>152</v>
      </c>
      <c r="B56" s="53" t="s">
        <v>130</v>
      </c>
      <c r="C56" s="12">
        <f>C19-C24</f>
        <v>966610</v>
      </c>
      <c r="D56" s="12">
        <f>D19-D24</f>
        <v>966610</v>
      </c>
      <c r="E56" s="12" t="str">
        <f t="shared" si="0"/>
        <v>-</v>
      </c>
      <c r="F56" s="106">
        <f t="shared" si="1"/>
        <v>1</v>
      </c>
    </row>
    <row r="57" spans="1:6" s="13" customFormat="1" ht="33" customHeight="1">
      <c r="A57" s="52" t="s">
        <v>153</v>
      </c>
      <c r="B57" s="53" t="s">
        <v>194</v>
      </c>
      <c r="C57" s="12">
        <f>C58+C59+C60+C68+C70+C75+C76+C77</f>
        <v>682594</v>
      </c>
      <c r="D57" s="12">
        <f>D58+D59+D60+D68+D70+D75+D76+D77</f>
        <v>682594</v>
      </c>
      <c r="E57" s="12" t="str">
        <f t="shared" si="0"/>
        <v>-</v>
      </c>
      <c r="F57" s="106">
        <f t="shared" si="1"/>
        <v>1</v>
      </c>
    </row>
    <row r="58" spans="1:6" ht="30" customHeight="1">
      <c r="A58" s="54" t="s">
        <v>17</v>
      </c>
      <c r="B58" s="50" t="s">
        <v>18</v>
      </c>
      <c r="C58" s="14">
        <f>CENTRALA!C38+'Razem OW'!C38</f>
        <v>26253</v>
      </c>
      <c r="D58" s="14">
        <f>CENTRALA!D38+'Razem OW'!D38</f>
        <v>26253</v>
      </c>
      <c r="E58" s="14" t="str">
        <f t="shared" si="0"/>
        <v>-</v>
      </c>
      <c r="F58" s="107">
        <f t="shared" si="1"/>
        <v>1</v>
      </c>
    </row>
    <row r="59" spans="1:6" ht="30" customHeight="1">
      <c r="A59" s="54" t="s">
        <v>19</v>
      </c>
      <c r="B59" s="50" t="s">
        <v>20</v>
      </c>
      <c r="C59" s="14">
        <f>CENTRALA!C39+'Razem OW'!C39</f>
        <v>156690</v>
      </c>
      <c r="D59" s="14">
        <f>CENTRALA!D39+'Razem OW'!D39</f>
        <v>156690</v>
      </c>
      <c r="E59" s="14" t="str">
        <f t="shared" si="0"/>
        <v>-</v>
      </c>
      <c r="F59" s="107">
        <f t="shared" si="1"/>
        <v>1</v>
      </c>
    </row>
    <row r="60" spans="1:6" ht="30" customHeight="1">
      <c r="A60" s="54" t="s">
        <v>21</v>
      </c>
      <c r="B60" s="65" t="s">
        <v>32</v>
      </c>
      <c r="C60" s="14">
        <f>C61+C63+C64+C65+C66+C67</f>
        <v>4694</v>
      </c>
      <c r="D60" s="14">
        <f>D61+D63+D64+D65+D66+D67</f>
        <v>4694</v>
      </c>
      <c r="E60" s="14" t="str">
        <f t="shared" si="0"/>
        <v>-</v>
      </c>
      <c r="F60" s="107">
        <f t="shared" si="1"/>
        <v>1</v>
      </c>
    </row>
    <row r="61" spans="1:6" s="16" customFormat="1" ht="30" customHeight="1">
      <c r="A61" s="66" t="s">
        <v>40</v>
      </c>
      <c r="B61" s="67" t="s">
        <v>33</v>
      </c>
      <c r="C61" s="14">
        <f>CENTRALA!C41+'Razem OW'!C41</f>
        <v>576</v>
      </c>
      <c r="D61" s="14">
        <f>CENTRALA!D41+'Razem OW'!D41</f>
        <v>576</v>
      </c>
      <c r="E61" s="14" t="str">
        <f t="shared" si="0"/>
        <v>-</v>
      </c>
      <c r="F61" s="107">
        <f t="shared" si="1"/>
        <v>1</v>
      </c>
    </row>
    <row r="62" spans="1:6" s="16" customFormat="1" ht="30" customHeight="1">
      <c r="A62" s="66" t="s">
        <v>41</v>
      </c>
      <c r="B62" s="68" t="s">
        <v>34</v>
      </c>
      <c r="C62" s="14">
        <f>CENTRALA!C42+'Razem OW'!C42</f>
        <v>550</v>
      </c>
      <c r="D62" s="14">
        <f>CENTRALA!D42+'Razem OW'!D42</f>
        <v>550</v>
      </c>
      <c r="E62" s="14" t="str">
        <f t="shared" si="0"/>
        <v>-</v>
      </c>
      <c r="F62" s="107">
        <f t="shared" si="1"/>
        <v>1</v>
      </c>
    </row>
    <row r="63" spans="1:6" s="16" customFormat="1" ht="30" customHeight="1">
      <c r="A63" s="66" t="s">
        <v>42</v>
      </c>
      <c r="B63" s="67" t="s">
        <v>35</v>
      </c>
      <c r="C63" s="14">
        <f>CENTRALA!C43+'Razem OW'!C43</f>
        <v>138</v>
      </c>
      <c r="D63" s="14">
        <f>CENTRALA!D43+'Razem OW'!D43</f>
        <v>138</v>
      </c>
      <c r="E63" s="14" t="str">
        <f t="shared" si="0"/>
        <v>-</v>
      </c>
      <c r="F63" s="107">
        <f t="shared" si="1"/>
        <v>1</v>
      </c>
    </row>
    <row r="64" spans="1:6" s="16" customFormat="1" ht="30" customHeight="1">
      <c r="A64" s="66" t="s">
        <v>43</v>
      </c>
      <c r="B64" s="67" t="s">
        <v>36</v>
      </c>
      <c r="C64" s="14">
        <f>CENTRALA!C44+'Razem OW'!C44</f>
        <v>35</v>
      </c>
      <c r="D64" s="14">
        <f>CENTRALA!D44+'Razem OW'!D44</f>
        <v>35</v>
      </c>
      <c r="E64" s="14" t="str">
        <f t="shared" si="0"/>
        <v>-</v>
      </c>
      <c r="F64" s="107">
        <f t="shared" si="1"/>
        <v>1</v>
      </c>
    </row>
    <row r="65" spans="1:6" s="16" customFormat="1" ht="30" customHeight="1">
      <c r="A65" s="66" t="s">
        <v>44</v>
      </c>
      <c r="B65" s="67" t="s">
        <v>37</v>
      </c>
      <c r="C65" s="14">
        <f>CENTRALA!C45+'Razem OW'!C45</f>
        <v>0</v>
      </c>
      <c r="D65" s="14">
        <f>CENTRALA!D45+'Razem OW'!D45</f>
        <v>0</v>
      </c>
      <c r="E65" s="14" t="str">
        <f t="shared" si="0"/>
        <v>-</v>
      </c>
      <c r="F65" s="107" t="str">
        <f t="shared" si="1"/>
        <v>-</v>
      </c>
    </row>
    <row r="66" spans="1:6" s="16" customFormat="1" ht="30" customHeight="1">
      <c r="A66" s="66" t="s">
        <v>45</v>
      </c>
      <c r="B66" s="67" t="s">
        <v>38</v>
      </c>
      <c r="C66" s="14">
        <f>CENTRALA!C46+'Razem OW'!C46</f>
        <v>3627</v>
      </c>
      <c r="D66" s="14">
        <f>CENTRALA!D46+'Razem OW'!D46</f>
        <v>3627</v>
      </c>
      <c r="E66" s="14" t="str">
        <f t="shared" si="0"/>
        <v>-</v>
      </c>
      <c r="F66" s="107">
        <f t="shared" si="1"/>
        <v>1</v>
      </c>
    </row>
    <row r="67" spans="1:6" s="17" customFormat="1" ht="30" customHeight="1">
      <c r="A67" s="66" t="s">
        <v>46</v>
      </c>
      <c r="B67" s="67" t="s">
        <v>39</v>
      </c>
      <c r="C67" s="14">
        <f>CENTRALA!C47+'Razem OW'!C47</f>
        <v>318</v>
      </c>
      <c r="D67" s="14">
        <f>CENTRALA!D47+'Razem OW'!D47</f>
        <v>318</v>
      </c>
      <c r="E67" s="14" t="str">
        <f t="shared" si="0"/>
        <v>-</v>
      </c>
      <c r="F67" s="107">
        <f t="shared" si="1"/>
        <v>1</v>
      </c>
    </row>
    <row r="68" spans="1:6" ht="30" customHeight="1">
      <c r="A68" s="31" t="s">
        <v>22</v>
      </c>
      <c r="B68" s="50" t="s">
        <v>186</v>
      </c>
      <c r="C68" s="14">
        <f>CENTRALA!C48+'Razem OW'!C48</f>
        <v>305966</v>
      </c>
      <c r="D68" s="14">
        <f>CENTRALA!D48+'Razem OW'!D48</f>
        <v>305966</v>
      </c>
      <c r="E68" s="14" t="str">
        <f t="shared" si="0"/>
        <v>-</v>
      </c>
      <c r="F68" s="107">
        <f t="shared" si="1"/>
        <v>1</v>
      </c>
    </row>
    <row r="69" spans="1:6" ht="30" customHeight="1">
      <c r="A69" s="66" t="s">
        <v>187</v>
      </c>
      <c r="B69" s="67" t="s">
        <v>188</v>
      </c>
      <c r="C69" s="14">
        <f>CENTRALA!C49+'Razem OW'!C49</f>
        <v>1401</v>
      </c>
      <c r="D69" s="14">
        <f>CENTRALA!D49+'Razem OW'!D49</f>
        <v>1401</v>
      </c>
      <c r="E69" s="14" t="str">
        <f t="shared" si="0"/>
        <v>-</v>
      </c>
      <c r="F69" s="107">
        <f t="shared" si="1"/>
        <v>1</v>
      </c>
    </row>
    <row r="70" spans="1:6" ht="30" customHeight="1">
      <c r="A70" s="54" t="s">
        <v>23</v>
      </c>
      <c r="B70" s="59" t="s">
        <v>55</v>
      </c>
      <c r="C70" s="14">
        <f>SUM(C71:C74)</f>
        <v>68817</v>
      </c>
      <c r="D70" s="14">
        <f>SUM(D71:D74)</f>
        <v>68817</v>
      </c>
      <c r="E70" s="14" t="str">
        <f t="shared" si="0"/>
        <v>-</v>
      </c>
      <c r="F70" s="107">
        <f t="shared" si="1"/>
        <v>1</v>
      </c>
    </row>
    <row r="71" spans="1:6" s="16" customFormat="1" ht="30" customHeight="1">
      <c r="A71" s="66" t="s">
        <v>51</v>
      </c>
      <c r="B71" s="67" t="s">
        <v>47</v>
      </c>
      <c r="C71" s="14">
        <f>CENTRALA!C51+'Razem OW'!C51</f>
        <v>52521</v>
      </c>
      <c r="D71" s="14">
        <f>CENTRALA!D51+'Razem OW'!D51</f>
        <v>52521</v>
      </c>
      <c r="E71" s="14" t="str">
        <f t="shared" si="0"/>
        <v>-</v>
      </c>
      <c r="F71" s="107">
        <f t="shared" si="1"/>
        <v>1</v>
      </c>
    </row>
    <row r="72" spans="1:6" s="16" customFormat="1" ht="30" customHeight="1">
      <c r="A72" s="66" t="s">
        <v>52</v>
      </c>
      <c r="B72" s="67" t="s">
        <v>48</v>
      </c>
      <c r="C72" s="14">
        <f>CENTRALA!C52+'Razem OW'!C52</f>
        <v>7500</v>
      </c>
      <c r="D72" s="14">
        <f>CENTRALA!D52+'Razem OW'!D52</f>
        <v>7500</v>
      </c>
      <c r="E72" s="14" t="str">
        <f t="shared" si="0"/>
        <v>-</v>
      </c>
      <c r="F72" s="107">
        <f t="shared" si="1"/>
        <v>1</v>
      </c>
    </row>
    <row r="73" spans="1:6" s="16" customFormat="1" ht="30" customHeight="1">
      <c r="A73" s="66" t="s">
        <v>53</v>
      </c>
      <c r="B73" s="67" t="s">
        <v>49</v>
      </c>
      <c r="C73" s="14">
        <f>CENTRALA!C53+'Razem OW'!C53</f>
        <v>0</v>
      </c>
      <c r="D73" s="14">
        <f>CENTRALA!D53+'Razem OW'!D53</f>
        <v>0</v>
      </c>
      <c r="E73" s="14" t="str">
        <f t="shared" si="0"/>
        <v>-</v>
      </c>
      <c r="F73" s="107" t="str">
        <f t="shared" si="1"/>
        <v>-</v>
      </c>
    </row>
    <row r="74" spans="1:6" s="16" customFormat="1" ht="30" customHeight="1">
      <c r="A74" s="66" t="s">
        <v>54</v>
      </c>
      <c r="B74" s="67" t="s">
        <v>50</v>
      </c>
      <c r="C74" s="14">
        <f>CENTRALA!C54+'Razem OW'!C54</f>
        <v>8796</v>
      </c>
      <c r="D74" s="14">
        <f>CENTRALA!D54+'Razem OW'!D54</f>
        <v>8796</v>
      </c>
      <c r="E74" s="14" t="str">
        <f t="shared" si="0"/>
        <v>-</v>
      </c>
      <c r="F74" s="107">
        <f t="shared" si="1"/>
        <v>1</v>
      </c>
    </row>
    <row r="75" spans="1:6" ht="30" customHeight="1">
      <c r="A75" s="54" t="s">
        <v>24</v>
      </c>
      <c r="B75" s="55" t="s">
        <v>25</v>
      </c>
      <c r="C75" s="14">
        <f>CENTRALA!C55+'Razem OW'!C55</f>
        <v>50</v>
      </c>
      <c r="D75" s="14">
        <f>CENTRALA!D55+'Razem OW'!D55</f>
        <v>50</v>
      </c>
      <c r="E75" s="14" t="str">
        <f t="shared" si="0"/>
        <v>-</v>
      </c>
      <c r="F75" s="107">
        <f t="shared" si="1"/>
        <v>1</v>
      </c>
    </row>
    <row r="76" spans="1:6" ht="42" customHeight="1">
      <c r="A76" s="54" t="s">
        <v>26</v>
      </c>
      <c r="B76" s="55" t="s">
        <v>189</v>
      </c>
      <c r="C76" s="78">
        <f>CENTRALA!C56+'Razem OW'!C56</f>
        <v>113546</v>
      </c>
      <c r="D76" s="78">
        <f>CENTRALA!D56+'Razem OW'!D56</f>
        <v>113546</v>
      </c>
      <c r="E76" s="14" t="str">
        <f t="shared" si="0"/>
        <v>-</v>
      </c>
      <c r="F76" s="107">
        <f t="shared" si="1"/>
        <v>1</v>
      </c>
    </row>
    <row r="77" spans="1:6" ht="30" customHeight="1">
      <c r="A77" s="54" t="s">
        <v>27</v>
      </c>
      <c r="B77" s="55" t="s">
        <v>28</v>
      </c>
      <c r="C77" s="14">
        <f>CENTRALA!C57+'Razem OW'!C57</f>
        <v>6578</v>
      </c>
      <c r="D77" s="14">
        <f>CENTRALA!D57+'Razem OW'!D57</f>
        <v>6578</v>
      </c>
      <c r="E77" s="14" t="str">
        <f t="shared" si="0"/>
        <v>-</v>
      </c>
      <c r="F77" s="107">
        <f t="shared" si="1"/>
        <v>1</v>
      </c>
    </row>
    <row r="78" spans="1:6" s="13" customFormat="1" ht="33" customHeight="1">
      <c r="A78" s="69" t="s">
        <v>154</v>
      </c>
      <c r="B78" s="70" t="s">
        <v>193</v>
      </c>
      <c r="C78" s="12">
        <v>91842</v>
      </c>
      <c r="D78" s="12">
        <f>C78</f>
        <v>91842</v>
      </c>
      <c r="E78" s="12" t="str">
        <f t="shared" si="0"/>
        <v>-</v>
      </c>
      <c r="F78" s="106">
        <f t="shared" si="1"/>
        <v>1</v>
      </c>
    </row>
    <row r="79" spans="1:6" s="13" customFormat="1" ht="33" customHeight="1">
      <c r="A79" s="69" t="s">
        <v>156</v>
      </c>
      <c r="B79" s="70" t="s">
        <v>155</v>
      </c>
      <c r="C79" s="12">
        <f>C80+C81+C82+C83</f>
        <v>350081</v>
      </c>
      <c r="D79" s="12">
        <f>D80+D81+D82+D83</f>
        <v>350081</v>
      </c>
      <c r="E79" s="12" t="str">
        <f aca="true" t="shared" si="2" ref="E79:E96">IF(C79=D79,"-",D79-C79)</f>
        <v>-</v>
      </c>
      <c r="F79" s="106">
        <f aca="true" t="shared" si="3" ref="F79:F96">IF(C79=0,"-",D79/C79)</f>
        <v>1</v>
      </c>
    </row>
    <row r="80" spans="1:6" ht="47.25" customHeight="1">
      <c r="A80" s="54" t="s">
        <v>104</v>
      </c>
      <c r="B80" s="55" t="s">
        <v>126</v>
      </c>
      <c r="C80" s="14">
        <f>CENTRALA!C59+'Razem OW'!C59</f>
        <v>1483</v>
      </c>
      <c r="D80" s="14">
        <f>CENTRALA!D59+'Razem OW'!D59</f>
        <v>1483</v>
      </c>
      <c r="E80" s="14" t="str">
        <f t="shared" si="2"/>
        <v>-</v>
      </c>
      <c r="F80" s="107">
        <f t="shared" si="3"/>
        <v>1</v>
      </c>
    </row>
    <row r="81" spans="1:6" ht="33.75" customHeight="1">
      <c r="A81" s="54" t="s">
        <v>30</v>
      </c>
      <c r="B81" s="55" t="s">
        <v>57</v>
      </c>
      <c r="C81" s="14">
        <f>CENTRALA!C60+'Razem OW'!C60</f>
        <v>319554</v>
      </c>
      <c r="D81" s="14">
        <f>CENTRALA!D60+'Razem OW'!D60</f>
        <v>319554</v>
      </c>
      <c r="E81" s="14" t="str">
        <f t="shared" si="2"/>
        <v>-</v>
      </c>
      <c r="F81" s="107">
        <f t="shared" si="3"/>
        <v>1</v>
      </c>
    </row>
    <row r="82" spans="1:6" ht="30" customHeight="1">
      <c r="A82" s="54" t="s">
        <v>31</v>
      </c>
      <c r="B82" s="55" t="s">
        <v>106</v>
      </c>
      <c r="C82" s="14">
        <f>CENTRALA!C61+'Razem OW'!C61</f>
        <v>7514</v>
      </c>
      <c r="D82" s="14">
        <f>CENTRALA!D61+'Razem OW'!D61</f>
        <v>7514</v>
      </c>
      <c r="E82" s="14" t="str">
        <f t="shared" si="2"/>
        <v>-</v>
      </c>
      <c r="F82" s="107">
        <f t="shared" si="3"/>
        <v>1</v>
      </c>
    </row>
    <row r="83" spans="1:6" ht="30" customHeight="1">
      <c r="A83" s="54" t="s">
        <v>105</v>
      </c>
      <c r="B83" s="59" t="s">
        <v>107</v>
      </c>
      <c r="C83" s="14">
        <f>CENTRALA!C62+'Razem OW'!C62</f>
        <v>21530</v>
      </c>
      <c r="D83" s="14">
        <f>CENTRALA!D62+'Razem OW'!D62</f>
        <v>21530</v>
      </c>
      <c r="E83" s="14" t="str">
        <f t="shared" si="2"/>
        <v>-</v>
      </c>
      <c r="F83" s="107">
        <f t="shared" si="3"/>
        <v>1</v>
      </c>
    </row>
    <row r="84" spans="1:6" s="13" customFormat="1" ht="33" customHeight="1">
      <c r="A84" s="69" t="s">
        <v>157</v>
      </c>
      <c r="B84" s="70" t="s">
        <v>129</v>
      </c>
      <c r="C84" s="12">
        <f>C85+C86</f>
        <v>90114</v>
      </c>
      <c r="D84" s="12">
        <f>D85+D86</f>
        <v>90114</v>
      </c>
      <c r="E84" s="12" t="str">
        <f t="shared" si="2"/>
        <v>-</v>
      </c>
      <c r="F84" s="106">
        <f t="shared" si="3"/>
        <v>1</v>
      </c>
    </row>
    <row r="85" spans="1:6" ht="30" customHeight="1">
      <c r="A85" s="54" t="s">
        <v>108</v>
      </c>
      <c r="B85" s="55" t="s">
        <v>109</v>
      </c>
      <c r="C85" s="14">
        <v>90114</v>
      </c>
      <c r="D85" s="14">
        <f aca="true" t="shared" si="4" ref="D85:D93">C85</f>
        <v>90114</v>
      </c>
      <c r="E85" s="14" t="str">
        <f t="shared" si="2"/>
        <v>-</v>
      </c>
      <c r="F85" s="107">
        <f t="shared" si="3"/>
        <v>1</v>
      </c>
    </row>
    <row r="86" spans="1:6" ht="30" customHeight="1">
      <c r="A86" s="54" t="s">
        <v>110</v>
      </c>
      <c r="B86" s="59" t="s">
        <v>111</v>
      </c>
      <c r="C86" s="14">
        <v>0</v>
      </c>
      <c r="D86" s="14">
        <f t="shared" si="4"/>
        <v>0</v>
      </c>
      <c r="E86" s="14" t="str">
        <f t="shared" si="2"/>
        <v>-</v>
      </c>
      <c r="F86" s="107" t="str">
        <f t="shared" si="3"/>
        <v>-</v>
      </c>
    </row>
    <row r="87" spans="1:6" s="13" customFormat="1" ht="39.75" customHeight="1">
      <c r="A87" s="69" t="s">
        <v>158</v>
      </c>
      <c r="B87" s="70" t="s">
        <v>133</v>
      </c>
      <c r="C87" s="12">
        <f>CENTRALA!C63+'Razem OW'!C63</f>
        <v>115891</v>
      </c>
      <c r="D87" s="12">
        <f>CENTRALA!D63+'Razem OW'!D63</f>
        <v>115891</v>
      </c>
      <c r="E87" s="12" t="str">
        <f t="shared" si="2"/>
        <v>-</v>
      </c>
      <c r="F87" s="106">
        <f t="shared" si="3"/>
        <v>1</v>
      </c>
    </row>
    <row r="88" spans="1:6" s="13" customFormat="1" ht="64.5" customHeight="1">
      <c r="A88" s="69" t="s">
        <v>159</v>
      </c>
      <c r="B88" s="70" t="s">
        <v>120</v>
      </c>
      <c r="C88" s="12">
        <f>C56-C57+C78-C79+C84-C87</f>
        <v>0</v>
      </c>
      <c r="D88" s="12">
        <f>D56-D57+D78-D79+D84-D87</f>
        <v>0</v>
      </c>
      <c r="E88" s="12" t="str">
        <f t="shared" si="2"/>
        <v>-</v>
      </c>
      <c r="F88" s="106" t="str">
        <f t="shared" si="3"/>
        <v>-</v>
      </c>
    </row>
    <row r="89" spans="1:6" s="13" customFormat="1" ht="33" customHeight="1">
      <c r="A89" s="69" t="s">
        <v>160</v>
      </c>
      <c r="B89" s="70" t="s">
        <v>127</v>
      </c>
      <c r="C89" s="12">
        <f>C90-C91</f>
        <v>0</v>
      </c>
      <c r="D89" s="12">
        <f>D90-D91</f>
        <v>0</v>
      </c>
      <c r="E89" s="12" t="str">
        <f t="shared" si="2"/>
        <v>-</v>
      </c>
      <c r="F89" s="106" t="str">
        <f t="shared" si="3"/>
        <v>-</v>
      </c>
    </row>
    <row r="90" spans="1:6" ht="30" customHeight="1">
      <c r="A90" s="54" t="s">
        <v>113</v>
      </c>
      <c r="B90" s="55" t="s">
        <v>114</v>
      </c>
      <c r="C90" s="14">
        <v>0</v>
      </c>
      <c r="D90" s="14">
        <f t="shared" si="4"/>
        <v>0</v>
      </c>
      <c r="E90" s="14" t="str">
        <f t="shared" si="2"/>
        <v>-</v>
      </c>
      <c r="F90" s="107" t="str">
        <f t="shared" si="3"/>
        <v>-</v>
      </c>
    </row>
    <row r="91" spans="1:6" ht="30" customHeight="1">
      <c r="A91" s="54" t="s">
        <v>115</v>
      </c>
      <c r="B91" s="55" t="s">
        <v>116</v>
      </c>
      <c r="C91" s="14">
        <v>0</v>
      </c>
      <c r="D91" s="14">
        <f t="shared" si="4"/>
        <v>0</v>
      </c>
      <c r="E91" s="14" t="str">
        <f t="shared" si="2"/>
        <v>-</v>
      </c>
      <c r="F91" s="107" t="str">
        <f t="shared" si="3"/>
        <v>-</v>
      </c>
    </row>
    <row r="92" spans="1:6" s="18" customFormat="1" ht="33" customHeight="1">
      <c r="A92" s="69" t="s">
        <v>161</v>
      </c>
      <c r="B92" s="71" t="s">
        <v>128</v>
      </c>
      <c r="C92" s="73">
        <f>C88+C89</f>
        <v>0</v>
      </c>
      <c r="D92" s="73">
        <f>D88+D89</f>
        <v>0</v>
      </c>
      <c r="E92" s="73" t="str">
        <f t="shared" si="2"/>
        <v>-</v>
      </c>
      <c r="F92" s="111" t="str">
        <f t="shared" si="3"/>
        <v>-</v>
      </c>
    </row>
    <row r="93" spans="1:6" s="18" customFormat="1" ht="69" customHeight="1">
      <c r="A93" s="69" t="s">
        <v>162</v>
      </c>
      <c r="B93" s="71" t="s">
        <v>117</v>
      </c>
      <c r="C93" s="73">
        <v>0</v>
      </c>
      <c r="D93" s="73">
        <f t="shared" si="4"/>
        <v>0</v>
      </c>
      <c r="E93" s="73" t="str">
        <f t="shared" si="2"/>
        <v>-</v>
      </c>
      <c r="F93" s="111" t="str">
        <f t="shared" si="3"/>
        <v>-</v>
      </c>
    </row>
    <row r="94" spans="1:6" s="18" customFormat="1" ht="33" customHeight="1">
      <c r="A94" s="69" t="s">
        <v>163</v>
      </c>
      <c r="B94" s="71" t="s">
        <v>134</v>
      </c>
      <c r="C94" s="73">
        <f>C92-C93</f>
        <v>0</v>
      </c>
      <c r="D94" s="73">
        <f>D92-D93</f>
        <v>0</v>
      </c>
      <c r="E94" s="73" t="str">
        <f t="shared" si="2"/>
        <v>-</v>
      </c>
      <c r="F94" s="111" t="str">
        <f t="shared" si="3"/>
        <v>-</v>
      </c>
    </row>
    <row r="95" spans="1:6" s="18" customFormat="1" ht="33" customHeight="1">
      <c r="A95" s="52" t="s">
        <v>164</v>
      </c>
      <c r="B95" s="72" t="s">
        <v>118</v>
      </c>
      <c r="C95" s="73">
        <f>C7+C13+C20+C21+C22+C23+C78+C84</f>
        <v>66729068</v>
      </c>
      <c r="D95" s="73">
        <f>D7+D13+D20+D21+D22+D23+D78+D84</f>
        <v>66729068</v>
      </c>
      <c r="E95" s="73" t="str">
        <f t="shared" si="2"/>
        <v>-</v>
      </c>
      <c r="F95" s="111">
        <f t="shared" si="3"/>
        <v>1</v>
      </c>
    </row>
    <row r="96" spans="1:6" s="18" customFormat="1" ht="33" customHeight="1">
      <c r="A96" s="69" t="s">
        <v>165</v>
      </c>
      <c r="B96" s="71" t="s">
        <v>119</v>
      </c>
      <c r="C96" s="73">
        <f>C10+C16+C25+C26+C53+C54+C57+C79+C87</f>
        <v>66729068</v>
      </c>
      <c r="D96" s="73">
        <f>D10+D16+D25+D26+D53+D54+D57+D79+D87</f>
        <v>66729068</v>
      </c>
      <c r="E96" s="73" t="str">
        <f t="shared" si="2"/>
        <v>-</v>
      </c>
      <c r="F96" s="111">
        <f t="shared" si="3"/>
        <v>1</v>
      </c>
    </row>
    <row r="97" ht="26.25">
      <c r="C97" s="19"/>
    </row>
    <row r="98" ht="26.25">
      <c r="C98" s="19"/>
    </row>
    <row r="99" ht="26.25">
      <c r="C99" s="19"/>
    </row>
    <row r="100" ht="26.25">
      <c r="C100" s="19"/>
    </row>
    <row r="101" ht="26.25">
      <c r="C101" s="19"/>
    </row>
    <row r="102" ht="26.25">
      <c r="C102" s="19"/>
    </row>
    <row r="103" ht="26.25">
      <c r="C103" s="19"/>
    </row>
    <row r="104" ht="26.25">
      <c r="C104" s="19"/>
    </row>
    <row r="105" ht="26.25">
      <c r="C105" s="19"/>
    </row>
    <row r="106" ht="26.25">
      <c r="C106" s="19"/>
    </row>
    <row r="107" ht="26.25">
      <c r="C107" s="19"/>
    </row>
  </sheetData>
  <sheetProtection/>
  <mergeCells count="8">
    <mergeCell ref="A2:B2"/>
    <mergeCell ref="A4:A5"/>
    <mergeCell ref="B4:B5"/>
    <mergeCell ref="C4:C5"/>
    <mergeCell ref="A1:F1"/>
    <mergeCell ref="D4:D5"/>
    <mergeCell ref="E4:E5"/>
    <mergeCell ref="F4:F5"/>
  </mergeCells>
  <printOptions horizontalCentered="1"/>
  <pageMargins left="0" right="0" top="0.3937007874015748" bottom="0.5905511811023623" header="0.5118110236220472" footer="0.3937007874015748"/>
  <pageSetup fitToHeight="2" horizontalDpi="600" verticalDpi="600" orientation="portrait" paperSize="9" scale="40" r:id="rId1"/>
  <headerFooter alignWithMargins="0">
    <oddFooter>&amp;R&amp;20&amp;P</oddFooter>
  </headerFooter>
  <rowBreaks count="1" manualBreakCount="1">
    <brk id="56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63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A2" sqref="A2:B2"/>
      <selection pane="topRight" activeCell="A2" sqref="A2:B2"/>
      <selection pane="bottomLeft" activeCell="A2" sqref="A2:B2"/>
      <selection pane="bottomRight" activeCell="A2" sqref="A2:B2"/>
    </sheetView>
  </sheetViews>
  <sheetFormatPr defaultColWidth="9.00390625" defaultRowHeight="12.75"/>
  <cols>
    <col min="1" max="1" width="9.125" style="1" customWidth="1"/>
    <col min="2" max="2" width="125.875" style="1" customWidth="1"/>
    <col min="3" max="3" width="25.75390625" style="1" customWidth="1"/>
    <col min="4" max="4" width="26.875" style="1" customWidth="1"/>
    <col min="5" max="6" width="20.75390625" style="1" customWidth="1"/>
    <col min="7" max="7" width="9.125" style="1" customWidth="1"/>
    <col min="8" max="8" width="9.375" style="1" bestFit="1" customWidth="1"/>
    <col min="9" max="16384" width="9.125" style="1" customWidth="1"/>
  </cols>
  <sheetData>
    <row r="1" spans="1:6" s="47" customFormat="1" ht="54.75" customHeight="1">
      <c r="A1" s="119" t="str">
        <f>NFZ!A1</f>
        <v>URUCHOMIENIE REZERWY NA KOSZTY ŚWIADCZEŃ OPIEKI ZDROWOTNEJ W RAMACH MIGRACJI UBEZPIECZONYCH Z DNIA 30 SIERPNIA 2012 R. W PLANIE FINANSOWYM NARODOWEGO FUNDUSZU ZDROWIA NA 2013 ROK</v>
      </c>
      <c r="B1" s="119"/>
      <c r="C1" s="119"/>
      <c r="D1" s="119"/>
      <c r="E1" s="119"/>
      <c r="F1" s="119"/>
    </row>
    <row r="2" spans="1:3" s="49" customFormat="1" ht="33" customHeight="1">
      <c r="A2" s="87" t="s">
        <v>69</v>
      </c>
      <c r="B2" s="87"/>
      <c r="C2" s="96"/>
    </row>
    <row r="3" spans="1:6" ht="33" customHeight="1">
      <c r="A3" s="7"/>
      <c r="B3" s="8"/>
      <c r="C3" s="86"/>
      <c r="D3" s="86"/>
      <c r="E3" s="86" t="s">
        <v>166</v>
      </c>
      <c r="F3" s="9"/>
    </row>
    <row r="4" spans="1:6" s="5" customFormat="1" ht="45" customHeight="1">
      <c r="A4" s="114" t="s">
        <v>137</v>
      </c>
      <c r="B4" s="114" t="s">
        <v>56</v>
      </c>
      <c r="C4" s="115" t="s">
        <v>206</v>
      </c>
      <c r="D4" s="115" t="s">
        <v>203</v>
      </c>
      <c r="E4" s="118" t="s">
        <v>204</v>
      </c>
      <c r="F4" s="118" t="s">
        <v>205</v>
      </c>
    </row>
    <row r="5" spans="1:6" s="5" customFormat="1" ht="45" customHeight="1">
      <c r="A5" s="114"/>
      <c r="B5" s="114"/>
      <c r="C5" s="116"/>
      <c r="D5" s="116"/>
      <c r="E5" s="118"/>
      <c r="F5" s="118"/>
    </row>
    <row r="6" spans="1:6" s="3" customFormat="1" ht="14.25">
      <c r="A6" s="46">
        <v>1</v>
      </c>
      <c r="B6" s="51">
        <v>2</v>
      </c>
      <c r="C6" s="46">
        <v>3</v>
      </c>
      <c r="D6" s="51">
        <v>4</v>
      </c>
      <c r="E6" s="46">
        <v>5</v>
      </c>
      <c r="F6" s="51">
        <v>6</v>
      </c>
    </row>
    <row r="7" spans="1:6" s="2" customFormat="1" ht="30" customHeight="1">
      <c r="A7" s="22" t="s">
        <v>0</v>
      </c>
      <c r="B7" s="38" t="s">
        <v>174</v>
      </c>
      <c r="C7" s="97">
        <f>C8+C9+C10+C15+C16+C17+C18+C19+C20+C21+C22+C23+C24+C25+C29+C30+C32+C33</f>
        <v>8788251</v>
      </c>
      <c r="D7" s="15">
        <f>D8+D9+D10+D15+D16+D17+D18+D19+D20+D21+D22+D23+D24+D25+D29+D30+D32+D33</f>
        <v>8788251</v>
      </c>
      <c r="E7" s="12" t="str">
        <f>IF(C7=D7,"-",D7-C7)</f>
        <v>-</v>
      </c>
      <c r="F7" s="99">
        <f>IF(C7=0,"-",D7/C7)</f>
        <v>1</v>
      </c>
    </row>
    <row r="8" spans="1:8" ht="33" customHeight="1">
      <c r="A8" s="28" t="s">
        <v>1</v>
      </c>
      <c r="B8" s="76" t="s">
        <v>138</v>
      </c>
      <c r="C8" s="79">
        <v>1067000</v>
      </c>
      <c r="D8" s="24">
        <f>C8</f>
        <v>1067000</v>
      </c>
      <c r="E8" s="100" t="str">
        <f aca="true" t="shared" si="0" ref="E8:E63">IF(C8=D8,"-",D8-C8)</f>
        <v>-</v>
      </c>
      <c r="F8" s="101">
        <f aca="true" t="shared" si="1" ref="F8:F63">IF(C8=0,"-",D8/C8)</f>
        <v>1</v>
      </c>
      <c r="G8" s="1">
        <v>1067000</v>
      </c>
      <c r="H8" s="85">
        <f>D8-G8</f>
        <v>0</v>
      </c>
    </row>
    <row r="9" spans="1:8" ht="33" customHeight="1">
      <c r="A9" s="28" t="s">
        <v>2</v>
      </c>
      <c r="B9" s="76" t="s">
        <v>139</v>
      </c>
      <c r="C9" s="79">
        <v>714000</v>
      </c>
      <c r="D9" s="24">
        <f>C9+16170</f>
        <v>730170</v>
      </c>
      <c r="E9" s="100">
        <f t="shared" si="0"/>
        <v>16170</v>
      </c>
      <c r="F9" s="101">
        <f t="shared" si="1"/>
        <v>1.0226</v>
      </c>
      <c r="G9" s="1">
        <v>730170</v>
      </c>
      <c r="H9" s="85">
        <f aca="true" t="shared" si="2" ref="H9:H36">D9-G9</f>
        <v>0</v>
      </c>
    </row>
    <row r="10" spans="1:8" ht="33" customHeight="1">
      <c r="A10" s="28" t="s">
        <v>3</v>
      </c>
      <c r="B10" s="76" t="s">
        <v>136</v>
      </c>
      <c r="C10" s="79">
        <v>4114551</v>
      </c>
      <c r="D10" s="24">
        <f>C10+168582+1022+7401+4472+3943</f>
        <v>4299971</v>
      </c>
      <c r="E10" s="100">
        <f t="shared" si="0"/>
        <v>185420</v>
      </c>
      <c r="F10" s="101">
        <f t="shared" si="1"/>
        <v>1.0451</v>
      </c>
      <c r="G10" s="1">
        <v>4299971</v>
      </c>
      <c r="H10" s="85">
        <f t="shared" si="2"/>
        <v>0</v>
      </c>
    </row>
    <row r="11" spans="1:8" ht="31.5" customHeight="1">
      <c r="A11" s="77" t="s">
        <v>58</v>
      </c>
      <c r="B11" s="88" t="s">
        <v>167</v>
      </c>
      <c r="C11" s="79">
        <v>362209</v>
      </c>
      <c r="D11" s="24">
        <f>C11+1022+7401</f>
        <v>370632</v>
      </c>
      <c r="E11" s="100">
        <f t="shared" si="0"/>
        <v>8423</v>
      </c>
      <c r="F11" s="101">
        <f t="shared" si="1"/>
        <v>1.0233</v>
      </c>
      <c r="G11" s="1">
        <v>370632</v>
      </c>
      <c r="H11" s="85">
        <f t="shared" si="2"/>
        <v>0</v>
      </c>
    </row>
    <row r="12" spans="1:8" ht="31.5" customHeight="1">
      <c r="A12" s="77" t="s">
        <v>168</v>
      </c>
      <c r="B12" s="88" t="s">
        <v>171</v>
      </c>
      <c r="C12" s="79">
        <v>316098</v>
      </c>
      <c r="D12" s="24">
        <f>C12+7401</f>
        <v>323499</v>
      </c>
      <c r="E12" s="100">
        <f t="shared" si="0"/>
        <v>7401</v>
      </c>
      <c r="F12" s="101">
        <f t="shared" si="1"/>
        <v>1.0234</v>
      </c>
      <c r="G12" s="1">
        <v>323499</v>
      </c>
      <c r="H12" s="85">
        <f t="shared" si="2"/>
        <v>0</v>
      </c>
    </row>
    <row r="13" spans="1:8" ht="31.5" customHeight="1">
      <c r="A13" s="77" t="s">
        <v>169</v>
      </c>
      <c r="B13" s="88" t="s">
        <v>172</v>
      </c>
      <c r="C13" s="79">
        <v>267427</v>
      </c>
      <c r="D13" s="24">
        <f>C13+4472+3943</f>
        <v>275842</v>
      </c>
      <c r="E13" s="100">
        <f t="shared" si="0"/>
        <v>8415</v>
      </c>
      <c r="F13" s="101">
        <f t="shared" si="1"/>
        <v>1.0315</v>
      </c>
      <c r="G13" s="1">
        <v>275842</v>
      </c>
      <c r="H13" s="85">
        <f t="shared" si="2"/>
        <v>0</v>
      </c>
    </row>
    <row r="14" spans="1:8" ht="31.5" customHeight="1">
      <c r="A14" s="77" t="s">
        <v>170</v>
      </c>
      <c r="B14" s="88" t="s">
        <v>173</v>
      </c>
      <c r="C14" s="79">
        <v>149260</v>
      </c>
      <c r="D14" s="24">
        <f>C14+3943</f>
        <v>153203</v>
      </c>
      <c r="E14" s="100">
        <f t="shared" si="0"/>
        <v>3943</v>
      </c>
      <c r="F14" s="101">
        <f t="shared" si="1"/>
        <v>1.0264</v>
      </c>
      <c r="G14" s="1">
        <v>153203</v>
      </c>
      <c r="H14" s="85">
        <f t="shared" si="2"/>
        <v>0</v>
      </c>
    </row>
    <row r="15" spans="1:8" ht="33" customHeight="1">
      <c r="A15" s="28" t="s">
        <v>4</v>
      </c>
      <c r="B15" s="76" t="s">
        <v>144</v>
      </c>
      <c r="C15" s="79">
        <v>320806</v>
      </c>
      <c r="D15" s="24">
        <f>C15+28475</f>
        <v>349281</v>
      </c>
      <c r="E15" s="100">
        <f t="shared" si="0"/>
        <v>28475</v>
      </c>
      <c r="F15" s="101">
        <f t="shared" si="1"/>
        <v>1.0888</v>
      </c>
      <c r="G15" s="1">
        <v>349281</v>
      </c>
      <c r="H15" s="85">
        <f t="shared" si="2"/>
        <v>0</v>
      </c>
    </row>
    <row r="16" spans="1:8" ht="33" customHeight="1">
      <c r="A16" s="28" t="s">
        <v>5</v>
      </c>
      <c r="B16" s="76" t="s">
        <v>140</v>
      </c>
      <c r="C16" s="79">
        <v>389709</v>
      </c>
      <c r="D16" s="24">
        <f>C16+11112</f>
        <v>400821</v>
      </c>
      <c r="E16" s="100">
        <f t="shared" si="0"/>
        <v>11112</v>
      </c>
      <c r="F16" s="101">
        <f t="shared" si="1"/>
        <v>1.0285</v>
      </c>
      <c r="G16" s="1">
        <v>400821</v>
      </c>
      <c r="H16" s="85">
        <f t="shared" si="2"/>
        <v>0</v>
      </c>
    </row>
    <row r="17" spans="1:8" ht="33" customHeight="1">
      <c r="A17" s="28" t="s">
        <v>6</v>
      </c>
      <c r="B17" s="76" t="s">
        <v>146</v>
      </c>
      <c r="C17" s="79">
        <v>134849</v>
      </c>
      <c r="D17" s="24">
        <f>C17+4023</f>
        <v>138872</v>
      </c>
      <c r="E17" s="100">
        <f t="shared" si="0"/>
        <v>4023</v>
      </c>
      <c r="F17" s="101">
        <f t="shared" si="1"/>
        <v>1.0298</v>
      </c>
      <c r="G17" s="1">
        <v>138872</v>
      </c>
      <c r="H17" s="85">
        <f t="shared" si="2"/>
        <v>0</v>
      </c>
    </row>
    <row r="18" spans="1:8" ht="33" customHeight="1">
      <c r="A18" s="28" t="s">
        <v>7</v>
      </c>
      <c r="B18" s="76" t="s">
        <v>145</v>
      </c>
      <c r="C18" s="79">
        <v>38000</v>
      </c>
      <c r="D18" s="24">
        <f>C18+1137</f>
        <v>39137</v>
      </c>
      <c r="E18" s="100">
        <f t="shared" si="0"/>
        <v>1137</v>
      </c>
      <c r="F18" s="101">
        <f t="shared" si="1"/>
        <v>1.0299</v>
      </c>
      <c r="G18" s="1">
        <v>39137</v>
      </c>
      <c r="H18" s="85">
        <f t="shared" si="2"/>
        <v>0</v>
      </c>
    </row>
    <row r="19" spans="1:8" ht="33" customHeight="1">
      <c r="A19" s="28" t="s">
        <v>8</v>
      </c>
      <c r="B19" s="76" t="s">
        <v>141</v>
      </c>
      <c r="C19" s="79">
        <v>194657</v>
      </c>
      <c r="D19" s="24">
        <f>C19+5934</f>
        <v>200591</v>
      </c>
      <c r="E19" s="100">
        <f t="shared" si="0"/>
        <v>5934</v>
      </c>
      <c r="F19" s="101">
        <f t="shared" si="1"/>
        <v>1.0305</v>
      </c>
      <c r="G19" s="1">
        <v>200591</v>
      </c>
      <c r="H19" s="85">
        <f t="shared" si="2"/>
        <v>0</v>
      </c>
    </row>
    <row r="20" spans="1:8" ht="33" customHeight="1">
      <c r="A20" s="28" t="s">
        <v>9</v>
      </c>
      <c r="B20" s="76" t="s">
        <v>142</v>
      </c>
      <c r="C20" s="79">
        <v>95731</v>
      </c>
      <c r="D20" s="24">
        <f>C20</f>
        <v>95731</v>
      </c>
      <c r="E20" s="100" t="str">
        <f t="shared" si="0"/>
        <v>-</v>
      </c>
      <c r="F20" s="101">
        <f t="shared" si="1"/>
        <v>1</v>
      </c>
      <c r="G20" s="1">
        <v>95731</v>
      </c>
      <c r="H20" s="85">
        <f t="shared" si="2"/>
        <v>0</v>
      </c>
    </row>
    <row r="21" spans="1:8" ht="33" customHeight="1">
      <c r="A21" s="28" t="s">
        <v>10</v>
      </c>
      <c r="B21" s="76" t="s">
        <v>147</v>
      </c>
      <c r="C21" s="79">
        <v>7683</v>
      </c>
      <c r="D21" s="24">
        <f>C21</f>
        <v>7683</v>
      </c>
      <c r="E21" s="100" t="str">
        <f t="shared" si="0"/>
        <v>-</v>
      </c>
      <c r="F21" s="101">
        <f t="shared" si="1"/>
        <v>1</v>
      </c>
      <c r="G21" s="1">
        <v>7683</v>
      </c>
      <c r="H21" s="85">
        <f t="shared" si="2"/>
        <v>0</v>
      </c>
    </row>
    <row r="22" spans="1:8" ht="46.5" customHeight="1">
      <c r="A22" s="28" t="s">
        <v>11</v>
      </c>
      <c r="B22" s="76" t="s">
        <v>143</v>
      </c>
      <c r="C22" s="79">
        <v>17856</v>
      </c>
      <c r="D22" s="24">
        <f>C22+339</f>
        <v>18195</v>
      </c>
      <c r="E22" s="100">
        <f t="shared" si="0"/>
        <v>339</v>
      </c>
      <c r="F22" s="101">
        <f t="shared" si="1"/>
        <v>1.019</v>
      </c>
      <c r="G22" s="1">
        <v>18195</v>
      </c>
      <c r="H22" s="85">
        <f t="shared" si="2"/>
        <v>0</v>
      </c>
    </row>
    <row r="23" spans="1:8" ht="33" customHeight="1">
      <c r="A23" s="28" t="s">
        <v>12</v>
      </c>
      <c r="B23" s="76" t="s">
        <v>197</v>
      </c>
      <c r="C23" s="79">
        <v>241575</v>
      </c>
      <c r="D23" s="24">
        <f>C23+7107</f>
        <v>248682</v>
      </c>
      <c r="E23" s="100">
        <f t="shared" si="0"/>
        <v>7107</v>
      </c>
      <c r="F23" s="101">
        <f t="shared" si="1"/>
        <v>1.0294</v>
      </c>
      <c r="G23" s="1">
        <v>248682</v>
      </c>
      <c r="H23" s="85">
        <f t="shared" si="2"/>
        <v>0</v>
      </c>
    </row>
    <row r="24" spans="1:8" ht="33" customHeight="1">
      <c r="A24" s="28" t="s">
        <v>13</v>
      </c>
      <c r="B24" s="76" t="s">
        <v>175</v>
      </c>
      <c r="C24" s="79">
        <v>115500</v>
      </c>
      <c r="D24" s="24">
        <f aca="true" t="shared" si="3" ref="D24:D31">C24</f>
        <v>115500</v>
      </c>
      <c r="E24" s="100" t="str">
        <f t="shared" si="0"/>
        <v>-</v>
      </c>
      <c r="F24" s="101">
        <f t="shared" si="1"/>
        <v>1</v>
      </c>
      <c r="G24" s="1">
        <v>115500</v>
      </c>
      <c r="H24" s="85">
        <f t="shared" si="2"/>
        <v>0</v>
      </c>
    </row>
    <row r="25" spans="1:8" ht="33" customHeight="1">
      <c r="A25" s="29" t="s">
        <v>14</v>
      </c>
      <c r="B25" s="76" t="s">
        <v>176</v>
      </c>
      <c r="C25" s="79">
        <v>1060197</v>
      </c>
      <c r="D25" s="24">
        <f t="shared" si="3"/>
        <v>1060197</v>
      </c>
      <c r="E25" s="100" t="str">
        <f t="shared" si="0"/>
        <v>-</v>
      </c>
      <c r="F25" s="101">
        <f t="shared" si="1"/>
        <v>1</v>
      </c>
      <c r="G25" s="1">
        <v>1060197</v>
      </c>
      <c r="H25" s="85">
        <f t="shared" si="2"/>
        <v>0</v>
      </c>
    </row>
    <row r="26" spans="1:8" ht="31.5">
      <c r="A26" s="27" t="s">
        <v>148</v>
      </c>
      <c r="B26" s="88" t="s">
        <v>178</v>
      </c>
      <c r="C26" s="79">
        <v>1052400</v>
      </c>
      <c r="D26" s="24">
        <f t="shared" si="3"/>
        <v>1052400</v>
      </c>
      <c r="E26" s="100" t="str">
        <f t="shared" si="0"/>
        <v>-</v>
      </c>
      <c r="F26" s="101">
        <f t="shared" si="1"/>
        <v>1</v>
      </c>
      <c r="G26" s="1">
        <v>1052400</v>
      </c>
      <c r="H26" s="85">
        <f t="shared" si="2"/>
        <v>0</v>
      </c>
    </row>
    <row r="27" spans="1:8" ht="31.5" customHeight="1">
      <c r="A27" s="77" t="s">
        <v>177</v>
      </c>
      <c r="B27" s="88" t="s">
        <v>180</v>
      </c>
      <c r="C27" s="79">
        <v>5868</v>
      </c>
      <c r="D27" s="24">
        <f t="shared" si="3"/>
        <v>5868</v>
      </c>
      <c r="E27" s="100" t="str">
        <f t="shared" si="0"/>
        <v>-</v>
      </c>
      <c r="F27" s="101">
        <f t="shared" si="1"/>
        <v>1</v>
      </c>
      <c r="G27" s="1">
        <v>5868</v>
      </c>
      <c r="H27" s="85">
        <f t="shared" si="2"/>
        <v>0</v>
      </c>
    </row>
    <row r="28" spans="1:8" ht="31.5" customHeight="1">
      <c r="A28" s="77" t="s">
        <v>181</v>
      </c>
      <c r="B28" s="88" t="s">
        <v>179</v>
      </c>
      <c r="C28" s="79">
        <v>1929</v>
      </c>
      <c r="D28" s="24">
        <f t="shared" si="3"/>
        <v>1929</v>
      </c>
      <c r="E28" s="100" t="str">
        <f t="shared" si="0"/>
        <v>-</v>
      </c>
      <c r="F28" s="101">
        <f t="shared" si="1"/>
        <v>1</v>
      </c>
      <c r="G28" s="1">
        <v>1929</v>
      </c>
      <c r="H28" s="85">
        <f t="shared" si="2"/>
        <v>0</v>
      </c>
    </row>
    <row r="29" spans="1:8" ht="33" customHeight="1">
      <c r="A29" s="30" t="s">
        <v>15</v>
      </c>
      <c r="B29" s="35" t="s">
        <v>124</v>
      </c>
      <c r="C29" s="79">
        <v>0</v>
      </c>
      <c r="D29" s="24">
        <f t="shared" si="3"/>
        <v>0</v>
      </c>
      <c r="E29" s="100" t="str">
        <f t="shared" si="0"/>
        <v>-</v>
      </c>
      <c r="F29" s="101" t="str">
        <f t="shared" si="1"/>
        <v>-</v>
      </c>
      <c r="G29" s="1">
        <v>0</v>
      </c>
      <c r="H29" s="85">
        <f t="shared" si="2"/>
        <v>0</v>
      </c>
    </row>
    <row r="30" spans="1:8" ht="33" customHeight="1">
      <c r="A30" s="30" t="s">
        <v>121</v>
      </c>
      <c r="B30" s="39" t="s">
        <v>182</v>
      </c>
      <c r="C30" s="79">
        <v>0</v>
      </c>
      <c r="D30" s="24">
        <f t="shared" si="3"/>
        <v>0</v>
      </c>
      <c r="E30" s="100" t="str">
        <f t="shared" si="0"/>
        <v>-</v>
      </c>
      <c r="F30" s="101" t="str">
        <f t="shared" si="1"/>
        <v>-</v>
      </c>
      <c r="G30" s="1">
        <v>0</v>
      </c>
      <c r="H30" s="85">
        <f t="shared" si="2"/>
        <v>0</v>
      </c>
    </row>
    <row r="31" spans="1:8" ht="31.5" customHeight="1">
      <c r="A31" s="77" t="s">
        <v>183</v>
      </c>
      <c r="B31" s="88" t="s">
        <v>199</v>
      </c>
      <c r="C31" s="79">
        <v>0</v>
      </c>
      <c r="D31" s="24">
        <f t="shared" si="3"/>
        <v>0</v>
      </c>
      <c r="E31" s="100" t="str">
        <f t="shared" si="0"/>
        <v>-</v>
      </c>
      <c r="F31" s="101" t="str">
        <f t="shared" si="1"/>
        <v>-</v>
      </c>
      <c r="G31" s="1">
        <v>0</v>
      </c>
      <c r="H31" s="85">
        <f t="shared" si="2"/>
        <v>0</v>
      </c>
    </row>
    <row r="32" spans="1:8" ht="33" customHeight="1">
      <c r="A32" s="30" t="s">
        <v>122</v>
      </c>
      <c r="B32" s="36" t="s">
        <v>125</v>
      </c>
      <c r="C32" s="79">
        <v>271045</v>
      </c>
      <c r="D32" s="24">
        <f>C32-271045</f>
        <v>0</v>
      </c>
      <c r="E32" s="100">
        <f t="shared" si="0"/>
        <v>-271045</v>
      </c>
      <c r="F32" s="101">
        <f t="shared" si="1"/>
        <v>0</v>
      </c>
      <c r="G32" s="1">
        <v>0</v>
      </c>
      <c r="H32" s="85">
        <f t="shared" si="2"/>
        <v>0</v>
      </c>
    </row>
    <row r="33" spans="1:8" ht="33" customHeight="1">
      <c r="A33" s="30" t="s">
        <v>123</v>
      </c>
      <c r="B33" s="39" t="s">
        <v>198</v>
      </c>
      <c r="C33" s="79">
        <v>5092</v>
      </c>
      <c r="D33" s="24">
        <f>C33+11328</f>
        <v>16420</v>
      </c>
      <c r="E33" s="100">
        <f t="shared" si="0"/>
        <v>11328</v>
      </c>
      <c r="F33" s="101">
        <f t="shared" si="1"/>
        <v>3.2247</v>
      </c>
      <c r="G33" s="1">
        <v>16420</v>
      </c>
      <c r="H33" s="85">
        <f t="shared" si="2"/>
        <v>0</v>
      </c>
    </row>
    <row r="34" spans="1:8" s="4" customFormat="1" ht="31.5" customHeight="1">
      <c r="A34" s="31" t="s">
        <v>60</v>
      </c>
      <c r="B34" s="37" t="s">
        <v>61</v>
      </c>
      <c r="C34" s="82">
        <v>0</v>
      </c>
      <c r="D34" s="94">
        <f>C34</f>
        <v>0</v>
      </c>
      <c r="E34" s="14" t="str">
        <f t="shared" si="0"/>
        <v>-</v>
      </c>
      <c r="F34" s="102" t="str">
        <f t="shared" si="1"/>
        <v>-</v>
      </c>
      <c r="G34" s="4">
        <v>0</v>
      </c>
      <c r="H34" s="85">
        <f t="shared" si="2"/>
        <v>0</v>
      </c>
    </row>
    <row r="35" spans="1:8" s="4" customFormat="1" ht="31.5" customHeight="1">
      <c r="A35" s="31" t="s">
        <v>59</v>
      </c>
      <c r="B35" s="37" t="s">
        <v>62</v>
      </c>
      <c r="C35" s="82">
        <v>229260</v>
      </c>
      <c r="D35" s="95">
        <f>C35</f>
        <v>229260</v>
      </c>
      <c r="E35" s="14" t="str">
        <f t="shared" si="0"/>
        <v>-</v>
      </c>
      <c r="F35" s="102">
        <f t="shared" si="1"/>
        <v>1</v>
      </c>
      <c r="G35" s="4">
        <v>229260</v>
      </c>
      <c r="H35" s="85">
        <f t="shared" si="2"/>
        <v>0</v>
      </c>
    </row>
    <row r="36" spans="1:8" s="4" customFormat="1" ht="42.75" customHeight="1">
      <c r="A36" s="31" t="s">
        <v>184</v>
      </c>
      <c r="B36" s="37" t="s">
        <v>185</v>
      </c>
      <c r="C36" s="82">
        <f>C12+C14+C25+C31</f>
        <v>1525555</v>
      </c>
      <c r="D36" s="82">
        <f>D12+D14+D25+D31</f>
        <v>1536899</v>
      </c>
      <c r="E36" s="14">
        <f t="shared" si="0"/>
        <v>11344</v>
      </c>
      <c r="F36" s="102">
        <f t="shared" si="1"/>
        <v>1.0074</v>
      </c>
      <c r="G36" s="4">
        <v>1536899</v>
      </c>
      <c r="H36" s="85">
        <f t="shared" si="2"/>
        <v>0</v>
      </c>
    </row>
    <row r="37" spans="1:6" s="2" customFormat="1" ht="30" customHeight="1">
      <c r="A37" s="25" t="s">
        <v>16</v>
      </c>
      <c r="B37" s="44" t="s">
        <v>195</v>
      </c>
      <c r="C37" s="23">
        <f>C38+C39+C40+C48+C50+C56+C57+C55</f>
        <v>68091</v>
      </c>
      <c r="D37" s="23">
        <f>D38+D39+D40+D48+D50+D56+D57+D55</f>
        <v>68091</v>
      </c>
      <c r="E37" s="12" t="str">
        <f t="shared" si="0"/>
        <v>-</v>
      </c>
      <c r="F37" s="103">
        <f t="shared" si="1"/>
        <v>1</v>
      </c>
    </row>
    <row r="38" spans="1:6" ht="28.5" customHeight="1">
      <c r="A38" s="30" t="s">
        <v>17</v>
      </c>
      <c r="B38" s="39" t="s">
        <v>18</v>
      </c>
      <c r="C38" s="79">
        <v>2708</v>
      </c>
      <c r="D38" s="83">
        <f>C38</f>
        <v>2708</v>
      </c>
      <c r="E38" s="100" t="str">
        <f t="shared" si="0"/>
        <v>-</v>
      </c>
      <c r="F38" s="101">
        <f t="shared" si="1"/>
        <v>1</v>
      </c>
    </row>
    <row r="39" spans="1:6" ht="28.5" customHeight="1">
      <c r="A39" s="30" t="s">
        <v>19</v>
      </c>
      <c r="B39" s="39" t="s">
        <v>20</v>
      </c>
      <c r="C39" s="79">
        <v>12325</v>
      </c>
      <c r="D39" s="83">
        <f>C39</f>
        <v>12325</v>
      </c>
      <c r="E39" s="100" t="str">
        <f t="shared" si="0"/>
        <v>-</v>
      </c>
      <c r="F39" s="101">
        <f t="shared" si="1"/>
        <v>1</v>
      </c>
    </row>
    <row r="40" spans="1:6" ht="28.5" customHeight="1">
      <c r="A40" s="30" t="s">
        <v>21</v>
      </c>
      <c r="B40" s="40" t="s">
        <v>32</v>
      </c>
      <c r="C40" s="93">
        <f>C41+C43+C44+C45+C46+C47</f>
        <v>446</v>
      </c>
      <c r="D40" s="83">
        <f>D41+D43+D44+D45+D46+D47</f>
        <v>446</v>
      </c>
      <c r="E40" s="100" t="str">
        <f t="shared" si="0"/>
        <v>-</v>
      </c>
      <c r="F40" s="101">
        <f t="shared" si="1"/>
        <v>1</v>
      </c>
    </row>
    <row r="41" spans="1:6" ht="28.5" customHeight="1">
      <c r="A41" s="41" t="s">
        <v>40</v>
      </c>
      <c r="B41" s="42" t="s">
        <v>33</v>
      </c>
      <c r="C41" s="79">
        <v>27</v>
      </c>
      <c r="D41" s="83">
        <f>C41</f>
        <v>27</v>
      </c>
      <c r="E41" s="100" t="str">
        <f t="shared" si="0"/>
        <v>-</v>
      </c>
      <c r="F41" s="101">
        <f t="shared" si="1"/>
        <v>1</v>
      </c>
    </row>
    <row r="42" spans="1:6" ht="28.5" customHeight="1">
      <c r="A42" s="41" t="s">
        <v>41</v>
      </c>
      <c r="B42" s="43" t="s">
        <v>34</v>
      </c>
      <c r="C42" s="79">
        <v>27</v>
      </c>
      <c r="D42" s="83">
        <f aca="true" t="shared" si="4" ref="D42:D61">C42</f>
        <v>27</v>
      </c>
      <c r="E42" s="100" t="str">
        <f t="shared" si="0"/>
        <v>-</v>
      </c>
      <c r="F42" s="101">
        <f t="shared" si="1"/>
        <v>1</v>
      </c>
    </row>
    <row r="43" spans="1:6" ht="28.5" customHeight="1">
      <c r="A43" s="41" t="s">
        <v>42</v>
      </c>
      <c r="B43" s="42" t="s">
        <v>35</v>
      </c>
      <c r="C43" s="79">
        <v>39</v>
      </c>
      <c r="D43" s="83">
        <f t="shared" si="4"/>
        <v>39</v>
      </c>
      <c r="E43" s="100" t="str">
        <f t="shared" si="0"/>
        <v>-</v>
      </c>
      <c r="F43" s="101">
        <f t="shared" si="1"/>
        <v>1</v>
      </c>
    </row>
    <row r="44" spans="1:6" ht="28.5" customHeight="1">
      <c r="A44" s="41" t="s">
        <v>43</v>
      </c>
      <c r="B44" s="42" t="s">
        <v>36</v>
      </c>
      <c r="C44" s="79">
        <v>0</v>
      </c>
      <c r="D44" s="83">
        <f t="shared" si="4"/>
        <v>0</v>
      </c>
      <c r="E44" s="100" t="str">
        <f t="shared" si="0"/>
        <v>-</v>
      </c>
      <c r="F44" s="101" t="str">
        <f t="shared" si="1"/>
        <v>-</v>
      </c>
    </row>
    <row r="45" spans="1:6" ht="28.5" customHeight="1">
      <c r="A45" s="41" t="s">
        <v>44</v>
      </c>
      <c r="B45" s="42" t="s">
        <v>37</v>
      </c>
      <c r="C45" s="79">
        <v>0</v>
      </c>
      <c r="D45" s="83">
        <f t="shared" si="4"/>
        <v>0</v>
      </c>
      <c r="E45" s="100" t="str">
        <f t="shared" si="0"/>
        <v>-</v>
      </c>
      <c r="F45" s="101" t="str">
        <f t="shared" si="1"/>
        <v>-</v>
      </c>
    </row>
    <row r="46" spans="1:6" ht="28.5" customHeight="1">
      <c r="A46" s="41" t="s">
        <v>45</v>
      </c>
      <c r="B46" s="42" t="s">
        <v>38</v>
      </c>
      <c r="C46" s="79">
        <v>353</v>
      </c>
      <c r="D46" s="83">
        <f t="shared" si="4"/>
        <v>353</v>
      </c>
      <c r="E46" s="100" t="str">
        <f t="shared" si="0"/>
        <v>-</v>
      </c>
      <c r="F46" s="101">
        <f t="shared" si="1"/>
        <v>1</v>
      </c>
    </row>
    <row r="47" spans="1:6" ht="28.5" customHeight="1">
      <c r="A47" s="41" t="s">
        <v>46</v>
      </c>
      <c r="B47" s="42" t="s">
        <v>39</v>
      </c>
      <c r="C47" s="79">
        <v>27</v>
      </c>
      <c r="D47" s="83">
        <f>C47</f>
        <v>27</v>
      </c>
      <c r="E47" s="100" t="str">
        <f t="shared" si="0"/>
        <v>-</v>
      </c>
      <c r="F47" s="101">
        <f t="shared" si="1"/>
        <v>1</v>
      </c>
    </row>
    <row r="48" spans="1:6" ht="28.5" customHeight="1">
      <c r="A48" s="30" t="s">
        <v>22</v>
      </c>
      <c r="B48" s="39" t="s">
        <v>186</v>
      </c>
      <c r="C48" s="79">
        <v>39512</v>
      </c>
      <c r="D48" s="83">
        <f>C48</f>
        <v>39512</v>
      </c>
      <c r="E48" s="100" t="str">
        <f t="shared" si="0"/>
        <v>-</v>
      </c>
      <c r="F48" s="101">
        <f t="shared" si="1"/>
        <v>1</v>
      </c>
    </row>
    <row r="49" spans="1:6" ht="28.5" customHeight="1">
      <c r="A49" s="41" t="s">
        <v>187</v>
      </c>
      <c r="B49" s="42" t="s">
        <v>188</v>
      </c>
      <c r="C49" s="79">
        <v>71</v>
      </c>
      <c r="D49" s="83">
        <f>C49</f>
        <v>71</v>
      </c>
      <c r="E49" s="100" t="str">
        <f t="shared" si="0"/>
        <v>-</v>
      </c>
      <c r="F49" s="101">
        <f t="shared" si="1"/>
        <v>1</v>
      </c>
    </row>
    <row r="50" spans="1:6" ht="28.5" customHeight="1">
      <c r="A50" s="30" t="s">
        <v>23</v>
      </c>
      <c r="B50" s="40" t="s">
        <v>55</v>
      </c>
      <c r="C50" s="93">
        <f>C51+C52+C53+C54</f>
        <v>8739</v>
      </c>
      <c r="D50" s="83">
        <f>D51+D52+D53+D54</f>
        <v>8739</v>
      </c>
      <c r="E50" s="100" t="str">
        <f t="shared" si="0"/>
        <v>-</v>
      </c>
      <c r="F50" s="101">
        <f t="shared" si="1"/>
        <v>1</v>
      </c>
    </row>
    <row r="51" spans="1:6" ht="28.5" customHeight="1">
      <c r="A51" s="41" t="s">
        <v>51</v>
      </c>
      <c r="B51" s="42" t="s">
        <v>47</v>
      </c>
      <c r="C51" s="83">
        <v>6792</v>
      </c>
      <c r="D51" s="83">
        <f t="shared" si="4"/>
        <v>6792</v>
      </c>
      <c r="E51" s="100" t="str">
        <f t="shared" si="0"/>
        <v>-</v>
      </c>
      <c r="F51" s="101">
        <f t="shared" si="1"/>
        <v>1</v>
      </c>
    </row>
    <row r="52" spans="1:6" ht="28.5" customHeight="1">
      <c r="A52" s="41" t="s">
        <v>52</v>
      </c>
      <c r="B52" s="42" t="s">
        <v>48</v>
      </c>
      <c r="C52" s="83">
        <v>968</v>
      </c>
      <c r="D52" s="83">
        <f t="shared" si="4"/>
        <v>968</v>
      </c>
      <c r="E52" s="100" t="str">
        <f t="shared" si="0"/>
        <v>-</v>
      </c>
      <c r="F52" s="101">
        <f t="shared" si="1"/>
        <v>1</v>
      </c>
    </row>
    <row r="53" spans="1:6" ht="28.5" customHeight="1">
      <c r="A53" s="41" t="s">
        <v>53</v>
      </c>
      <c r="B53" s="42" t="s">
        <v>49</v>
      </c>
      <c r="C53" s="83">
        <v>0</v>
      </c>
      <c r="D53" s="83">
        <f t="shared" si="4"/>
        <v>0</v>
      </c>
      <c r="E53" s="100" t="str">
        <f t="shared" si="0"/>
        <v>-</v>
      </c>
      <c r="F53" s="101" t="str">
        <f t="shared" si="1"/>
        <v>-</v>
      </c>
    </row>
    <row r="54" spans="1:6" ht="28.5" customHeight="1">
      <c r="A54" s="41" t="s">
        <v>54</v>
      </c>
      <c r="B54" s="42" t="s">
        <v>50</v>
      </c>
      <c r="C54" s="83">
        <v>979</v>
      </c>
      <c r="D54" s="83">
        <f t="shared" si="4"/>
        <v>979</v>
      </c>
      <c r="E54" s="100" t="str">
        <f t="shared" si="0"/>
        <v>-</v>
      </c>
      <c r="F54" s="101">
        <f t="shared" si="1"/>
        <v>1</v>
      </c>
    </row>
    <row r="55" spans="1:6" ht="28.5" customHeight="1">
      <c r="A55" s="30" t="s">
        <v>24</v>
      </c>
      <c r="B55" s="39" t="s">
        <v>25</v>
      </c>
      <c r="C55" s="79">
        <v>0</v>
      </c>
      <c r="D55" s="83">
        <f>C55</f>
        <v>0</v>
      </c>
      <c r="E55" s="100" t="str">
        <f t="shared" si="0"/>
        <v>-</v>
      </c>
      <c r="F55" s="101" t="str">
        <f t="shared" si="1"/>
        <v>-</v>
      </c>
    </row>
    <row r="56" spans="1:6" ht="28.5" customHeight="1">
      <c r="A56" s="30" t="s">
        <v>26</v>
      </c>
      <c r="B56" s="39" t="s">
        <v>189</v>
      </c>
      <c r="C56" s="79">
        <v>4066</v>
      </c>
      <c r="D56" s="83">
        <f>C56</f>
        <v>4066</v>
      </c>
      <c r="E56" s="100" t="str">
        <f t="shared" si="0"/>
        <v>-</v>
      </c>
      <c r="F56" s="104">
        <f t="shared" si="1"/>
        <v>1</v>
      </c>
    </row>
    <row r="57" spans="1:6" ht="28.5" customHeight="1">
      <c r="A57" s="30" t="s">
        <v>27</v>
      </c>
      <c r="B57" s="39" t="s">
        <v>28</v>
      </c>
      <c r="C57" s="79">
        <v>295</v>
      </c>
      <c r="D57" s="83">
        <f>C57</f>
        <v>295</v>
      </c>
      <c r="E57" s="100" t="str">
        <f t="shared" si="0"/>
        <v>-</v>
      </c>
      <c r="F57" s="101">
        <f t="shared" si="1"/>
        <v>1</v>
      </c>
    </row>
    <row r="58" spans="1:6" s="2" customFormat="1" ht="30" customHeight="1">
      <c r="A58" s="32" t="s">
        <v>29</v>
      </c>
      <c r="B58" s="44" t="s">
        <v>190</v>
      </c>
      <c r="C58" s="81">
        <f>C59+C60+C61+C62</f>
        <v>34920</v>
      </c>
      <c r="D58" s="26">
        <f>D59+D60+D61+D62</f>
        <v>34920</v>
      </c>
      <c r="E58" s="12" t="str">
        <f t="shared" si="0"/>
        <v>-</v>
      </c>
      <c r="F58" s="105">
        <f t="shared" si="1"/>
        <v>1</v>
      </c>
    </row>
    <row r="59" spans="1:6" ht="42" customHeight="1">
      <c r="A59" s="30" t="s">
        <v>104</v>
      </c>
      <c r="B59" s="39" t="s">
        <v>126</v>
      </c>
      <c r="C59" s="79">
        <v>20</v>
      </c>
      <c r="D59" s="83">
        <f t="shared" si="4"/>
        <v>20</v>
      </c>
      <c r="E59" s="75" t="str">
        <f t="shared" si="0"/>
        <v>-</v>
      </c>
      <c r="F59" s="101">
        <f t="shared" si="1"/>
        <v>1</v>
      </c>
    </row>
    <row r="60" spans="1:6" ht="31.5" customHeight="1">
      <c r="A60" s="30" t="s">
        <v>30</v>
      </c>
      <c r="B60" s="39" t="s">
        <v>57</v>
      </c>
      <c r="C60" s="79">
        <v>33000</v>
      </c>
      <c r="D60" s="83">
        <f t="shared" si="4"/>
        <v>33000</v>
      </c>
      <c r="E60" s="75" t="str">
        <f t="shared" si="0"/>
        <v>-</v>
      </c>
      <c r="F60" s="101">
        <f t="shared" si="1"/>
        <v>1</v>
      </c>
    </row>
    <row r="61" spans="1:6" ht="31.5" customHeight="1">
      <c r="A61" s="30" t="s">
        <v>31</v>
      </c>
      <c r="B61" s="39" t="s">
        <v>106</v>
      </c>
      <c r="C61" s="79">
        <v>0</v>
      </c>
      <c r="D61" s="83">
        <f t="shared" si="4"/>
        <v>0</v>
      </c>
      <c r="E61" s="75" t="str">
        <f t="shared" si="0"/>
        <v>-</v>
      </c>
      <c r="F61" s="101" t="str">
        <f t="shared" si="1"/>
        <v>-</v>
      </c>
    </row>
    <row r="62" spans="1:6" ht="31.5" customHeight="1">
      <c r="A62" s="30" t="s">
        <v>105</v>
      </c>
      <c r="B62" s="39" t="s">
        <v>107</v>
      </c>
      <c r="C62" s="79">
        <v>1900</v>
      </c>
      <c r="D62" s="83">
        <f>C62</f>
        <v>1900</v>
      </c>
      <c r="E62" s="75" t="str">
        <f t="shared" si="0"/>
        <v>-</v>
      </c>
      <c r="F62" s="101">
        <f t="shared" si="1"/>
        <v>1</v>
      </c>
    </row>
    <row r="63" spans="1:6" ht="32.25" customHeight="1">
      <c r="A63" s="32" t="s">
        <v>112</v>
      </c>
      <c r="B63" s="44" t="s">
        <v>133</v>
      </c>
      <c r="C63" s="81">
        <v>12260</v>
      </c>
      <c r="D63" s="26">
        <f>C63</f>
        <v>12260</v>
      </c>
      <c r="E63" s="12" t="str">
        <f t="shared" si="0"/>
        <v>-</v>
      </c>
      <c r="F63" s="105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63"/>
  <sheetViews>
    <sheetView showGridLines="0" view="pageBreakPreview" zoomScale="55" zoomScaleNormal="70" zoomScaleSheetLayoutView="55" zoomScalePageLayoutView="0" workbookViewId="0" topLeftCell="A1">
      <pane xSplit="2" ySplit="7" topLeftCell="C20" activePane="bottomRight" state="frozen"/>
      <selection pane="topLeft" activeCell="A2" sqref="A2:B2"/>
      <selection pane="topRight" activeCell="A2" sqref="A2:B2"/>
      <selection pane="bottomLeft" activeCell="A2" sqref="A2:B2"/>
      <selection pane="bottomRight" activeCell="A2" sqref="A2:B2"/>
    </sheetView>
  </sheetViews>
  <sheetFormatPr defaultColWidth="9.00390625" defaultRowHeight="12.75"/>
  <cols>
    <col min="1" max="1" width="9.125" style="1" customWidth="1"/>
    <col min="2" max="2" width="125.875" style="1" customWidth="1"/>
    <col min="3" max="3" width="25.75390625" style="1" customWidth="1"/>
    <col min="4" max="4" width="26.875" style="1" customWidth="1"/>
    <col min="5" max="6" width="20.75390625" style="1" customWidth="1"/>
    <col min="7" max="7" width="9.125" style="1" customWidth="1"/>
    <col min="8" max="8" width="9.375" style="1" bestFit="1" customWidth="1"/>
    <col min="9" max="16384" width="9.125" style="1" customWidth="1"/>
  </cols>
  <sheetData>
    <row r="1" spans="1:6" s="47" customFormat="1" ht="54.75" customHeight="1">
      <c r="A1" s="119" t="str">
        <f>NFZ!A1</f>
        <v>URUCHOMIENIE REZERWY NA KOSZTY ŚWIADCZEŃ OPIEKI ZDROWOTNEJ W RAMACH MIGRACJI UBEZPIECZONYCH Z DNIA 30 SIERPNIA 2012 R. W PLANIE FINANSOWYM NARODOWEGO FUNDUSZU ZDROWIA NA 2013 ROK</v>
      </c>
      <c r="B1" s="119"/>
      <c r="C1" s="119"/>
      <c r="D1" s="119"/>
      <c r="E1" s="119"/>
      <c r="F1" s="119"/>
    </row>
    <row r="2" spans="1:3" s="49" customFormat="1" ht="33" customHeight="1">
      <c r="A2" s="87" t="s">
        <v>70</v>
      </c>
      <c r="B2" s="87"/>
      <c r="C2" s="96"/>
    </row>
    <row r="3" spans="1:6" ht="33" customHeight="1">
      <c r="A3" s="7"/>
      <c r="B3" s="8"/>
      <c r="C3" s="86"/>
      <c r="D3" s="86"/>
      <c r="E3" s="86" t="s">
        <v>166</v>
      </c>
      <c r="F3" s="9"/>
    </row>
    <row r="4" spans="1:6" s="5" customFormat="1" ht="45" customHeight="1">
      <c r="A4" s="114" t="s">
        <v>137</v>
      </c>
      <c r="B4" s="114" t="s">
        <v>56</v>
      </c>
      <c r="C4" s="115" t="s">
        <v>206</v>
      </c>
      <c r="D4" s="115" t="s">
        <v>203</v>
      </c>
      <c r="E4" s="118" t="s">
        <v>204</v>
      </c>
      <c r="F4" s="118" t="s">
        <v>205</v>
      </c>
    </row>
    <row r="5" spans="1:6" s="5" customFormat="1" ht="45" customHeight="1">
      <c r="A5" s="114"/>
      <c r="B5" s="114"/>
      <c r="C5" s="116"/>
      <c r="D5" s="116"/>
      <c r="E5" s="118"/>
      <c r="F5" s="118"/>
    </row>
    <row r="6" spans="1:6" s="3" customFormat="1" ht="14.25">
      <c r="A6" s="46">
        <v>1</v>
      </c>
      <c r="B6" s="51">
        <v>2</v>
      </c>
      <c r="C6" s="46">
        <v>3</v>
      </c>
      <c r="D6" s="51">
        <v>4</v>
      </c>
      <c r="E6" s="46">
        <v>5</v>
      </c>
      <c r="F6" s="51">
        <v>6</v>
      </c>
    </row>
    <row r="7" spans="1:6" s="2" customFormat="1" ht="30" customHeight="1">
      <c r="A7" s="22" t="s">
        <v>0</v>
      </c>
      <c r="B7" s="38" t="s">
        <v>174</v>
      </c>
      <c r="C7" s="97">
        <f>C8+C9+C10+C15+C16+C17+C18+C19+C20+C21+C22+C23+C24+C25+C29+C30+C32+C33</f>
        <v>1578162</v>
      </c>
      <c r="D7" s="15">
        <f>D8+D9+D10+D15+D16+D17+D18+D19+D20+D21+D22+D23+D24+D25+D29+D30+D32+D33</f>
        <v>1578162</v>
      </c>
      <c r="E7" s="12" t="str">
        <f>IF(C7=D7,"-",D7-C7)</f>
        <v>-</v>
      </c>
      <c r="F7" s="99">
        <f>IF(C7=0,"-",D7/C7)</f>
        <v>1</v>
      </c>
    </row>
    <row r="8" spans="1:8" ht="33" customHeight="1">
      <c r="A8" s="28" t="s">
        <v>1</v>
      </c>
      <c r="B8" s="76" t="s">
        <v>138</v>
      </c>
      <c r="C8" s="79">
        <v>188231</v>
      </c>
      <c r="D8" s="24">
        <f>C8</f>
        <v>188231</v>
      </c>
      <c r="E8" s="100" t="str">
        <f aca="true" t="shared" si="0" ref="E8:E63">IF(C8=D8,"-",D8-C8)</f>
        <v>-</v>
      </c>
      <c r="F8" s="101">
        <f aca="true" t="shared" si="1" ref="F8:F63">IF(C8=0,"-",D8/C8)</f>
        <v>1</v>
      </c>
      <c r="G8" s="1">
        <v>0</v>
      </c>
      <c r="H8" s="85" t="e">
        <f>E8-G8</f>
        <v>#VALUE!</v>
      </c>
    </row>
    <row r="9" spans="1:8" ht="33" customHeight="1">
      <c r="A9" s="28" t="s">
        <v>2</v>
      </c>
      <c r="B9" s="76" t="s">
        <v>139</v>
      </c>
      <c r="C9" s="79">
        <v>120970</v>
      </c>
      <c r="D9" s="24">
        <f>C9+6420</f>
        <v>127390</v>
      </c>
      <c r="E9" s="100">
        <f t="shared" si="0"/>
        <v>6420</v>
      </c>
      <c r="F9" s="101">
        <f t="shared" si="1"/>
        <v>1.0531</v>
      </c>
      <c r="G9" s="1">
        <v>6420</v>
      </c>
      <c r="H9" s="85">
        <f aca="true" t="shared" si="2" ref="H9:H33">E9-G9</f>
        <v>0</v>
      </c>
    </row>
    <row r="10" spans="1:8" ht="33" customHeight="1">
      <c r="A10" s="28" t="s">
        <v>3</v>
      </c>
      <c r="B10" s="76" t="s">
        <v>136</v>
      </c>
      <c r="C10" s="79">
        <v>648179</v>
      </c>
      <c r="D10" s="24">
        <f>C10+91459+744+6676+4888+3408</f>
        <v>755354</v>
      </c>
      <c r="E10" s="100">
        <f t="shared" si="0"/>
        <v>107175</v>
      </c>
      <c r="F10" s="101">
        <f t="shared" si="1"/>
        <v>1.1653</v>
      </c>
      <c r="G10" s="1">
        <v>107175</v>
      </c>
      <c r="H10" s="85">
        <f t="shared" si="2"/>
        <v>0</v>
      </c>
    </row>
    <row r="11" spans="1:8" ht="31.5" customHeight="1">
      <c r="A11" s="77" t="s">
        <v>58</v>
      </c>
      <c r="B11" s="88" t="s">
        <v>167</v>
      </c>
      <c r="C11" s="79">
        <v>45420</v>
      </c>
      <c r="D11" s="24">
        <f>C11+744+6676</f>
        <v>52840</v>
      </c>
      <c r="E11" s="100">
        <f t="shared" si="0"/>
        <v>7420</v>
      </c>
      <c r="F11" s="101">
        <f t="shared" si="1"/>
        <v>1.1634</v>
      </c>
      <c r="G11" s="1">
        <v>7420</v>
      </c>
      <c r="H11" s="85">
        <f t="shared" si="2"/>
        <v>0</v>
      </c>
    </row>
    <row r="12" spans="1:8" ht="31.5" customHeight="1">
      <c r="A12" s="77" t="s">
        <v>168</v>
      </c>
      <c r="B12" s="88" t="s">
        <v>171</v>
      </c>
      <c r="C12" s="79">
        <v>41500</v>
      </c>
      <c r="D12" s="24">
        <f>C12+6676</f>
        <v>48176</v>
      </c>
      <c r="E12" s="100">
        <f t="shared" si="0"/>
        <v>6676</v>
      </c>
      <c r="F12" s="101">
        <f t="shared" si="1"/>
        <v>1.1609</v>
      </c>
      <c r="G12" s="1">
        <v>6676</v>
      </c>
      <c r="H12" s="85">
        <f t="shared" si="2"/>
        <v>0</v>
      </c>
    </row>
    <row r="13" spans="1:8" ht="31.5" customHeight="1">
      <c r="A13" s="77" t="s">
        <v>169</v>
      </c>
      <c r="B13" s="88" t="s">
        <v>172</v>
      </c>
      <c r="C13" s="79">
        <v>20394</v>
      </c>
      <c r="D13" s="24">
        <f>C13+4888+3408</f>
        <v>28690</v>
      </c>
      <c r="E13" s="100">
        <f t="shared" si="0"/>
        <v>8296</v>
      </c>
      <c r="F13" s="101">
        <f t="shared" si="1"/>
        <v>1.4068</v>
      </c>
      <c r="G13" s="1">
        <v>8296</v>
      </c>
      <c r="H13" s="85">
        <f t="shared" si="2"/>
        <v>0</v>
      </c>
    </row>
    <row r="14" spans="1:8" ht="31.5" customHeight="1">
      <c r="A14" s="77" t="s">
        <v>170</v>
      </c>
      <c r="B14" s="88" t="s">
        <v>173</v>
      </c>
      <c r="C14" s="79">
        <v>8138</v>
      </c>
      <c r="D14" s="24">
        <f>C14+3408</f>
        <v>11546</v>
      </c>
      <c r="E14" s="100">
        <f t="shared" si="0"/>
        <v>3408</v>
      </c>
      <c r="F14" s="101">
        <f t="shared" si="1"/>
        <v>1.4188</v>
      </c>
      <c r="G14" s="1">
        <v>3408</v>
      </c>
      <c r="H14" s="85">
        <f t="shared" si="2"/>
        <v>0</v>
      </c>
    </row>
    <row r="15" spans="1:8" ht="33" customHeight="1">
      <c r="A15" s="28" t="s">
        <v>4</v>
      </c>
      <c r="B15" s="76" t="s">
        <v>144</v>
      </c>
      <c r="C15" s="79">
        <v>48760</v>
      </c>
      <c r="D15" s="24">
        <f>C15+9554</f>
        <v>58314</v>
      </c>
      <c r="E15" s="100">
        <f t="shared" si="0"/>
        <v>9554</v>
      </c>
      <c r="F15" s="101">
        <f t="shared" si="1"/>
        <v>1.1959</v>
      </c>
      <c r="G15" s="1">
        <v>9554</v>
      </c>
      <c r="H15" s="85">
        <f t="shared" si="2"/>
        <v>0</v>
      </c>
    </row>
    <row r="16" spans="1:8" ht="33" customHeight="1">
      <c r="A16" s="28" t="s">
        <v>5</v>
      </c>
      <c r="B16" s="76" t="s">
        <v>140</v>
      </c>
      <c r="C16" s="79">
        <v>48645</v>
      </c>
      <c r="D16" s="24">
        <f>C16+5945</f>
        <v>54590</v>
      </c>
      <c r="E16" s="100">
        <f t="shared" si="0"/>
        <v>5945</v>
      </c>
      <c r="F16" s="101">
        <f t="shared" si="1"/>
        <v>1.1222</v>
      </c>
      <c r="G16" s="1">
        <v>5945</v>
      </c>
      <c r="H16" s="85">
        <f t="shared" si="2"/>
        <v>0</v>
      </c>
    </row>
    <row r="17" spans="1:8" ht="33" customHeight="1">
      <c r="A17" s="28" t="s">
        <v>6</v>
      </c>
      <c r="B17" s="76" t="s">
        <v>146</v>
      </c>
      <c r="C17" s="79">
        <v>42469</v>
      </c>
      <c r="D17" s="24">
        <f>C17+1259</f>
        <v>43728</v>
      </c>
      <c r="E17" s="100">
        <f t="shared" si="0"/>
        <v>1259</v>
      </c>
      <c r="F17" s="101">
        <f t="shared" si="1"/>
        <v>1.0296</v>
      </c>
      <c r="G17" s="1">
        <v>1259</v>
      </c>
      <c r="H17" s="85">
        <f t="shared" si="2"/>
        <v>0</v>
      </c>
    </row>
    <row r="18" spans="1:8" ht="33" customHeight="1">
      <c r="A18" s="28" t="s">
        <v>7</v>
      </c>
      <c r="B18" s="76" t="s">
        <v>145</v>
      </c>
      <c r="C18" s="79">
        <v>9720</v>
      </c>
      <c r="D18" s="24">
        <f>C18+203</f>
        <v>9923</v>
      </c>
      <c r="E18" s="100">
        <f t="shared" si="0"/>
        <v>203</v>
      </c>
      <c r="F18" s="101">
        <f t="shared" si="1"/>
        <v>1.0209</v>
      </c>
      <c r="G18" s="1">
        <v>203</v>
      </c>
      <c r="H18" s="85">
        <f t="shared" si="2"/>
        <v>0</v>
      </c>
    </row>
    <row r="19" spans="1:8" ht="33" customHeight="1">
      <c r="A19" s="28" t="s">
        <v>8</v>
      </c>
      <c r="B19" s="76" t="s">
        <v>141</v>
      </c>
      <c r="C19" s="79">
        <v>45500</v>
      </c>
      <c r="D19" s="24">
        <f>C19+1722</f>
        <v>47222</v>
      </c>
      <c r="E19" s="100">
        <f t="shared" si="0"/>
        <v>1722</v>
      </c>
      <c r="F19" s="101">
        <f t="shared" si="1"/>
        <v>1.0378</v>
      </c>
      <c r="G19" s="1">
        <v>1722</v>
      </c>
      <c r="H19" s="85">
        <f t="shared" si="2"/>
        <v>0</v>
      </c>
    </row>
    <row r="20" spans="1:8" ht="33" customHeight="1">
      <c r="A20" s="28" t="s">
        <v>9</v>
      </c>
      <c r="B20" s="76" t="s">
        <v>142</v>
      </c>
      <c r="C20" s="79">
        <v>12900</v>
      </c>
      <c r="D20" s="24">
        <f>C20</f>
        <v>12900</v>
      </c>
      <c r="E20" s="100" t="str">
        <f t="shared" si="0"/>
        <v>-</v>
      </c>
      <c r="F20" s="101">
        <f t="shared" si="1"/>
        <v>1</v>
      </c>
      <c r="G20" s="1">
        <v>0</v>
      </c>
      <c r="H20" s="85" t="e">
        <f t="shared" si="2"/>
        <v>#VALUE!</v>
      </c>
    </row>
    <row r="21" spans="1:8" ht="33" customHeight="1">
      <c r="A21" s="28" t="s">
        <v>10</v>
      </c>
      <c r="B21" s="76" t="s">
        <v>147</v>
      </c>
      <c r="C21" s="79">
        <v>1750</v>
      </c>
      <c r="D21" s="24">
        <f>C21</f>
        <v>1750</v>
      </c>
      <c r="E21" s="100" t="str">
        <f t="shared" si="0"/>
        <v>-</v>
      </c>
      <c r="F21" s="101">
        <f t="shared" si="1"/>
        <v>1</v>
      </c>
      <c r="G21" s="1">
        <v>0</v>
      </c>
      <c r="H21" s="85" t="e">
        <f t="shared" si="2"/>
        <v>#VALUE!</v>
      </c>
    </row>
    <row r="22" spans="1:8" ht="46.5" customHeight="1">
      <c r="A22" s="28" t="s">
        <v>11</v>
      </c>
      <c r="B22" s="76" t="s">
        <v>143</v>
      </c>
      <c r="C22" s="79">
        <v>4469</v>
      </c>
      <c r="D22" s="24">
        <f>C22+218</f>
        <v>4687</v>
      </c>
      <c r="E22" s="100">
        <f t="shared" si="0"/>
        <v>218</v>
      </c>
      <c r="F22" s="101">
        <f t="shared" si="1"/>
        <v>1.0488</v>
      </c>
      <c r="G22" s="1">
        <v>218</v>
      </c>
      <c r="H22" s="85">
        <f t="shared" si="2"/>
        <v>0</v>
      </c>
    </row>
    <row r="23" spans="1:8" ht="33" customHeight="1">
      <c r="A23" s="28" t="s">
        <v>12</v>
      </c>
      <c r="B23" s="76" t="s">
        <v>197</v>
      </c>
      <c r="C23" s="79">
        <v>34325</v>
      </c>
      <c r="D23" s="24">
        <f>C23+5842</f>
        <v>40167</v>
      </c>
      <c r="E23" s="100">
        <f t="shared" si="0"/>
        <v>5842</v>
      </c>
      <c r="F23" s="101">
        <f t="shared" si="1"/>
        <v>1.1702</v>
      </c>
      <c r="G23" s="1">
        <v>5842</v>
      </c>
      <c r="H23" s="85">
        <f t="shared" si="2"/>
        <v>0</v>
      </c>
    </row>
    <row r="24" spans="1:8" ht="33" customHeight="1">
      <c r="A24" s="28" t="s">
        <v>13</v>
      </c>
      <c r="B24" s="76" t="s">
        <v>175</v>
      </c>
      <c r="C24" s="79">
        <v>26290</v>
      </c>
      <c r="D24" s="24">
        <f aca="true" t="shared" si="3" ref="D24:D31">C24</f>
        <v>26290</v>
      </c>
      <c r="E24" s="100" t="str">
        <f t="shared" si="0"/>
        <v>-</v>
      </c>
      <c r="F24" s="101">
        <f t="shared" si="1"/>
        <v>1</v>
      </c>
      <c r="G24" s="1">
        <v>0</v>
      </c>
      <c r="H24" s="85" t="e">
        <f t="shared" si="2"/>
        <v>#VALUE!</v>
      </c>
    </row>
    <row r="25" spans="1:8" ht="33" customHeight="1">
      <c r="A25" s="29" t="s">
        <v>14</v>
      </c>
      <c r="B25" s="76" t="s">
        <v>176</v>
      </c>
      <c r="C25" s="79">
        <v>198678</v>
      </c>
      <c r="D25" s="24">
        <f t="shared" si="3"/>
        <v>198678</v>
      </c>
      <c r="E25" s="100" t="str">
        <f t="shared" si="0"/>
        <v>-</v>
      </c>
      <c r="F25" s="101">
        <f t="shared" si="1"/>
        <v>1</v>
      </c>
      <c r="G25" s="1">
        <v>0</v>
      </c>
      <c r="H25" s="85" t="e">
        <f t="shared" si="2"/>
        <v>#VALUE!</v>
      </c>
    </row>
    <row r="26" spans="1:8" ht="31.5">
      <c r="A26" s="27" t="s">
        <v>148</v>
      </c>
      <c r="B26" s="88" t="s">
        <v>178</v>
      </c>
      <c r="C26" s="79">
        <v>197928</v>
      </c>
      <c r="D26" s="24">
        <f t="shared" si="3"/>
        <v>197928</v>
      </c>
      <c r="E26" s="100" t="str">
        <f t="shared" si="0"/>
        <v>-</v>
      </c>
      <c r="F26" s="101">
        <f t="shared" si="1"/>
        <v>1</v>
      </c>
      <c r="G26" s="1">
        <v>0</v>
      </c>
      <c r="H26" s="85" t="e">
        <f t="shared" si="2"/>
        <v>#VALUE!</v>
      </c>
    </row>
    <row r="27" spans="1:8" ht="31.5" customHeight="1">
      <c r="A27" s="77" t="s">
        <v>177</v>
      </c>
      <c r="B27" s="88" t="s">
        <v>180</v>
      </c>
      <c r="C27" s="79">
        <v>590</v>
      </c>
      <c r="D27" s="24">
        <f t="shared" si="3"/>
        <v>590</v>
      </c>
      <c r="E27" s="100" t="str">
        <f t="shared" si="0"/>
        <v>-</v>
      </c>
      <c r="F27" s="101">
        <f t="shared" si="1"/>
        <v>1</v>
      </c>
      <c r="G27" s="1">
        <v>0</v>
      </c>
      <c r="H27" s="85" t="e">
        <f t="shared" si="2"/>
        <v>#VALUE!</v>
      </c>
    </row>
    <row r="28" spans="1:8" ht="31.5" customHeight="1">
      <c r="A28" s="77" t="s">
        <v>181</v>
      </c>
      <c r="B28" s="88" t="s">
        <v>179</v>
      </c>
      <c r="C28" s="79">
        <v>160</v>
      </c>
      <c r="D28" s="24">
        <f t="shared" si="3"/>
        <v>160</v>
      </c>
      <c r="E28" s="100" t="str">
        <f t="shared" si="0"/>
        <v>-</v>
      </c>
      <c r="F28" s="101">
        <f t="shared" si="1"/>
        <v>1</v>
      </c>
      <c r="G28" s="1">
        <v>0</v>
      </c>
      <c r="H28" s="85" t="e">
        <f t="shared" si="2"/>
        <v>#VALUE!</v>
      </c>
    </row>
    <row r="29" spans="1:8" ht="33" customHeight="1">
      <c r="A29" s="30" t="s">
        <v>15</v>
      </c>
      <c r="B29" s="35" t="s">
        <v>124</v>
      </c>
      <c r="C29" s="79">
        <v>0</v>
      </c>
      <c r="D29" s="24">
        <f t="shared" si="3"/>
        <v>0</v>
      </c>
      <c r="E29" s="100" t="str">
        <f t="shared" si="0"/>
        <v>-</v>
      </c>
      <c r="F29" s="101" t="str">
        <f t="shared" si="1"/>
        <v>-</v>
      </c>
      <c r="G29" s="1">
        <v>0</v>
      </c>
      <c r="H29" s="85" t="e">
        <f t="shared" si="2"/>
        <v>#VALUE!</v>
      </c>
    </row>
    <row r="30" spans="1:8" ht="33" customHeight="1">
      <c r="A30" s="30" t="s">
        <v>121</v>
      </c>
      <c r="B30" s="39" t="s">
        <v>182</v>
      </c>
      <c r="C30" s="79">
        <v>0</v>
      </c>
      <c r="D30" s="24">
        <f t="shared" si="3"/>
        <v>0</v>
      </c>
      <c r="E30" s="100" t="str">
        <f t="shared" si="0"/>
        <v>-</v>
      </c>
      <c r="F30" s="101" t="str">
        <f t="shared" si="1"/>
        <v>-</v>
      </c>
      <c r="G30" s="1">
        <v>0</v>
      </c>
      <c r="H30" s="85" t="e">
        <f t="shared" si="2"/>
        <v>#VALUE!</v>
      </c>
    </row>
    <row r="31" spans="1:8" ht="31.5" customHeight="1">
      <c r="A31" s="77" t="s">
        <v>183</v>
      </c>
      <c r="B31" s="88" t="s">
        <v>199</v>
      </c>
      <c r="C31" s="79">
        <v>0</v>
      </c>
      <c r="D31" s="24">
        <f t="shared" si="3"/>
        <v>0</v>
      </c>
      <c r="E31" s="100" t="str">
        <f t="shared" si="0"/>
        <v>-</v>
      </c>
      <c r="F31" s="101" t="str">
        <f t="shared" si="1"/>
        <v>-</v>
      </c>
      <c r="G31" s="1">
        <v>0</v>
      </c>
      <c r="H31" s="85" t="e">
        <f t="shared" si="2"/>
        <v>#VALUE!</v>
      </c>
    </row>
    <row r="32" spans="1:8" ht="33" customHeight="1">
      <c r="A32" s="30" t="s">
        <v>122</v>
      </c>
      <c r="B32" s="36" t="s">
        <v>125</v>
      </c>
      <c r="C32" s="79">
        <v>143976</v>
      </c>
      <c r="D32" s="24">
        <f>C32-143976</f>
        <v>0</v>
      </c>
      <c r="E32" s="100">
        <f t="shared" si="0"/>
        <v>-143976</v>
      </c>
      <c r="F32" s="101">
        <f t="shared" si="1"/>
        <v>0</v>
      </c>
      <c r="G32" s="1">
        <v>-143976</v>
      </c>
      <c r="H32" s="85">
        <f t="shared" si="2"/>
        <v>0</v>
      </c>
    </row>
    <row r="33" spans="1:8" ht="33" customHeight="1">
      <c r="A33" s="30" t="s">
        <v>123</v>
      </c>
      <c r="B33" s="39" t="s">
        <v>198</v>
      </c>
      <c r="C33" s="79">
        <v>3300</v>
      </c>
      <c r="D33" s="24">
        <f>C33+5638</f>
        <v>8938</v>
      </c>
      <c r="E33" s="100">
        <f t="shared" si="0"/>
        <v>5638</v>
      </c>
      <c r="F33" s="101">
        <f t="shared" si="1"/>
        <v>2.7085</v>
      </c>
      <c r="G33" s="1">
        <v>5638</v>
      </c>
      <c r="H33" s="85">
        <f t="shared" si="2"/>
        <v>0</v>
      </c>
    </row>
    <row r="34" spans="1:6" s="4" customFormat="1" ht="31.5" customHeight="1">
      <c r="A34" s="31" t="s">
        <v>60</v>
      </c>
      <c r="B34" s="37" t="s">
        <v>61</v>
      </c>
      <c r="C34" s="82">
        <v>0</v>
      </c>
      <c r="D34" s="94">
        <f>C34</f>
        <v>0</v>
      </c>
      <c r="E34" s="14" t="str">
        <f t="shared" si="0"/>
        <v>-</v>
      </c>
      <c r="F34" s="102" t="str">
        <f t="shared" si="1"/>
        <v>-</v>
      </c>
    </row>
    <row r="35" spans="1:6" s="4" customFormat="1" ht="31.5" customHeight="1">
      <c r="A35" s="31" t="s">
        <v>59</v>
      </c>
      <c r="B35" s="37" t="s">
        <v>62</v>
      </c>
      <c r="C35" s="82">
        <v>51997</v>
      </c>
      <c r="D35" s="95">
        <f>C35</f>
        <v>51997</v>
      </c>
      <c r="E35" s="14" t="str">
        <f t="shared" si="0"/>
        <v>-</v>
      </c>
      <c r="F35" s="102">
        <f t="shared" si="1"/>
        <v>1</v>
      </c>
    </row>
    <row r="36" spans="1:6" s="4" customFormat="1" ht="42.75" customHeight="1">
      <c r="A36" s="31" t="s">
        <v>184</v>
      </c>
      <c r="B36" s="37" t="s">
        <v>185</v>
      </c>
      <c r="C36" s="82">
        <f>C12+C14+C25+C31</f>
        <v>248316</v>
      </c>
      <c r="D36" s="82">
        <f>D12+D14+D25+D31</f>
        <v>258400</v>
      </c>
      <c r="E36" s="14">
        <f t="shared" si="0"/>
        <v>10084</v>
      </c>
      <c r="F36" s="102">
        <f t="shared" si="1"/>
        <v>1.0406</v>
      </c>
    </row>
    <row r="37" spans="1:6" s="2" customFormat="1" ht="30" customHeight="1">
      <c r="A37" s="25" t="s">
        <v>16</v>
      </c>
      <c r="B37" s="44" t="s">
        <v>195</v>
      </c>
      <c r="C37" s="23">
        <f>C38+C39+C40+C48+C50+C56+C57+C55</f>
        <v>15231</v>
      </c>
      <c r="D37" s="23">
        <f>D38+D39+D40+D48+D50+D56+D57+D55</f>
        <v>15231</v>
      </c>
      <c r="E37" s="12" t="str">
        <f t="shared" si="0"/>
        <v>-</v>
      </c>
      <c r="F37" s="103">
        <f t="shared" si="1"/>
        <v>1</v>
      </c>
    </row>
    <row r="38" spans="1:6" ht="28.5" customHeight="1">
      <c r="A38" s="30" t="s">
        <v>17</v>
      </c>
      <c r="B38" s="39" t="s">
        <v>18</v>
      </c>
      <c r="C38" s="79">
        <v>934</v>
      </c>
      <c r="D38" s="83">
        <f>C38</f>
        <v>934</v>
      </c>
      <c r="E38" s="100" t="str">
        <f t="shared" si="0"/>
        <v>-</v>
      </c>
      <c r="F38" s="101">
        <f t="shared" si="1"/>
        <v>1</v>
      </c>
    </row>
    <row r="39" spans="1:6" ht="28.5" customHeight="1">
      <c r="A39" s="30" t="s">
        <v>19</v>
      </c>
      <c r="B39" s="39" t="s">
        <v>20</v>
      </c>
      <c r="C39" s="79">
        <v>2090</v>
      </c>
      <c r="D39" s="83">
        <f>C39</f>
        <v>2090</v>
      </c>
      <c r="E39" s="100" t="str">
        <f t="shared" si="0"/>
        <v>-</v>
      </c>
      <c r="F39" s="101">
        <f t="shared" si="1"/>
        <v>1</v>
      </c>
    </row>
    <row r="40" spans="1:6" ht="28.5" customHeight="1">
      <c r="A40" s="30" t="s">
        <v>21</v>
      </c>
      <c r="B40" s="40" t="s">
        <v>32</v>
      </c>
      <c r="C40" s="93">
        <f>C41+C43+C44+C45+C46+C47</f>
        <v>135</v>
      </c>
      <c r="D40" s="83">
        <f>D41+D43+D44+D45+D46+D47</f>
        <v>135</v>
      </c>
      <c r="E40" s="100" t="str">
        <f t="shared" si="0"/>
        <v>-</v>
      </c>
      <c r="F40" s="101">
        <f t="shared" si="1"/>
        <v>1</v>
      </c>
    </row>
    <row r="41" spans="1:6" ht="28.5" customHeight="1">
      <c r="A41" s="41" t="s">
        <v>40</v>
      </c>
      <c r="B41" s="42" t="s">
        <v>33</v>
      </c>
      <c r="C41" s="79">
        <v>0</v>
      </c>
      <c r="D41" s="83">
        <f>C41</f>
        <v>0</v>
      </c>
      <c r="E41" s="100" t="str">
        <f t="shared" si="0"/>
        <v>-</v>
      </c>
      <c r="F41" s="101" t="str">
        <f t="shared" si="1"/>
        <v>-</v>
      </c>
    </row>
    <row r="42" spans="1:6" ht="28.5" customHeight="1">
      <c r="A42" s="41" t="s">
        <v>41</v>
      </c>
      <c r="B42" s="43" t="s">
        <v>34</v>
      </c>
      <c r="C42" s="79">
        <v>0</v>
      </c>
      <c r="D42" s="83">
        <f aca="true" t="shared" si="4" ref="D42:D61">C42</f>
        <v>0</v>
      </c>
      <c r="E42" s="100" t="str">
        <f t="shared" si="0"/>
        <v>-</v>
      </c>
      <c r="F42" s="101" t="str">
        <f t="shared" si="1"/>
        <v>-</v>
      </c>
    </row>
    <row r="43" spans="1:6" ht="28.5" customHeight="1">
      <c r="A43" s="41" t="s">
        <v>42</v>
      </c>
      <c r="B43" s="42" t="s">
        <v>35</v>
      </c>
      <c r="C43" s="79">
        <v>6</v>
      </c>
      <c r="D43" s="83">
        <f t="shared" si="4"/>
        <v>6</v>
      </c>
      <c r="E43" s="100" t="str">
        <f t="shared" si="0"/>
        <v>-</v>
      </c>
      <c r="F43" s="101">
        <f t="shared" si="1"/>
        <v>1</v>
      </c>
    </row>
    <row r="44" spans="1:6" ht="28.5" customHeight="1">
      <c r="A44" s="41" t="s">
        <v>43</v>
      </c>
      <c r="B44" s="42" t="s">
        <v>36</v>
      </c>
      <c r="C44" s="79">
        <v>0</v>
      </c>
      <c r="D44" s="83">
        <f t="shared" si="4"/>
        <v>0</v>
      </c>
      <c r="E44" s="100" t="str">
        <f t="shared" si="0"/>
        <v>-</v>
      </c>
      <c r="F44" s="101" t="str">
        <f t="shared" si="1"/>
        <v>-</v>
      </c>
    </row>
    <row r="45" spans="1:6" ht="28.5" customHeight="1">
      <c r="A45" s="41" t="s">
        <v>44</v>
      </c>
      <c r="B45" s="42" t="s">
        <v>37</v>
      </c>
      <c r="C45" s="79">
        <v>0</v>
      </c>
      <c r="D45" s="83">
        <f t="shared" si="4"/>
        <v>0</v>
      </c>
      <c r="E45" s="100" t="str">
        <f t="shared" si="0"/>
        <v>-</v>
      </c>
      <c r="F45" s="101" t="str">
        <f t="shared" si="1"/>
        <v>-</v>
      </c>
    </row>
    <row r="46" spans="1:6" ht="28.5" customHeight="1">
      <c r="A46" s="41" t="s">
        <v>45</v>
      </c>
      <c r="B46" s="42" t="s">
        <v>38</v>
      </c>
      <c r="C46" s="79">
        <v>127</v>
      </c>
      <c r="D46" s="83">
        <f t="shared" si="4"/>
        <v>127</v>
      </c>
      <c r="E46" s="100" t="str">
        <f t="shared" si="0"/>
        <v>-</v>
      </c>
      <c r="F46" s="101">
        <f t="shared" si="1"/>
        <v>1</v>
      </c>
    </row>
    <row r="47" spans="1:6" ht="28.5" customHeight="1">
      <c r="A47" s="41" t="s">
        <v>46</v>
      </c>
      <c r="B47" s="42" t="s">
        <v>39</v>
      </c>
      <c r="C47" s="79">
        <v>2</v>
      </c>
      <c r="D47" s="83">
        <f>C47</f>
        <v>2</v>
      </c>
      <c r="E47" s="100" t="str">
        <f t="shared" si="0"/>
        <v>-</v>
      </c>
      <c r="F47" s="101">
        <f t="shared" si="1"/>
        <v>1</v>
      </c>
    </row>
    <row r="48" spans="1:6" ht="28.5" customHeight="1">
      <c r="A48" s="30" t="s">
        <v>22</v>
      </c>
      <c r="B48" s="39" t="s">
        <v>186</v>
      </c>
      <c r="C48" s="79">
        <v>8290</v>
      </c>
      <c r="D48" s="83">
        <f>C48</f>
        <v>8290</v>
      </c>
      <c r="E48" s="100" t="str">
        <f t="shared" si="0"/>
        <v>-</v>
      </c>
      <c r="F48" s="101">
        <f t="shared" si="1"/>
        <v>1</v>
      </c>
    </row>
    <row r="49" spans="1:6" ht="28.5" customHeight="1">
      <c r="A49" s="41" t="s">
        <v>187</v>
      </c>
      <c r="B49" s="42" t="s">
        <v>188</v>
      </c>
      <c r="C49" s="79">
        <v>20</v>
      </c>
      <c r="D49" s="83">
        <f>C49</f>
        <v>20</v>
      </c>
      <c r="E49" s="100" t="str">
        <f t="shared" si="0"/>
        <v>-</v>
      </c>
      <c r="F49" s="101">
        <f t="shared" si="1"/>
        <v>1</v>
      </c>
    </row>
    <row r="50" spans="1:6" ht="28.5" customHeight="1">
      <c r="A50" s="30" t="s">
        <v>23</v>
      </c>
      <c r="B50" s="40" t="s">
        <v>55</v>
      </c>
      <c r="C50" s="93">
        <f>C51+C52+C53+C54</f>
        <v>1840</v>
      </c>
      <c r="D50" s="83">
        <f>D51+D52+D53+D54</f>
        <v>1840</v>
      </c>
      <c r="E50" s="100" t="str">
        <f t="shared" si="0"/>
        <v>-</v>
      </c>
      <c r="F50" s="101">
        <f t="shared" si="1"/>
        <v>1</v>
      </c>
    </row>
    <row r="51" spans="1:6" ht="28.5" customHeight="1">
      <c r="A51" s="41" t="s">
        <v>51</v>
      </c>
      <c r="B51" s="42" t="s">
        <v>47</v>
      </c>
      <c r="C51" s="83">
        <v>1425</v>
      </c>
      <c r="D51" s="83">
        <f t="shared" si="4"/>
        <v>1425</v>
      </c>
      <c r="E51" s="100" t="str">
        <f t="shared" si="0"/>
        <v>-</v>
      </c>
      <c r="F51" s="101">
        <f t="shared" si="1"/>
        <v>1</v>
      </c>
    </row>
    <row r="52" spans="1:6" ht="28.5" customHeight="1">
      <c r="A52" s="41" t="s">
        <v>52</v>
      </c>
      <c r="B52" s="42" t="s">
        <v>48</v>
      </c>
      <c r="C52" s="83">
        <v>203</v>
      </c>
      <c r="D52" s="83">
        <f t="shared" si="4"/>
        <v>203</v>
      </c>
      <c r="E52" s="100" t="str">
        <f t="shared" si="0"/>
        <v>-</v>
      </c>
      <c r="F52" s="101">
        <f t="shared" si="1"/>
        <v>1</v>
      </c>
    </row>
    <row r="53" spans="1:6" ht="28.5" customHeight="1">
      <c r="A53" s="41" t="s">
        <v>53</v>
      </c>
      <c r="B53" s="42" t="s">
        <v>49</v>
      </c>
      <c r="C53" s="83">
        <v>0</v>
      </c>
      <c r="D53" s="83">
        <f t="shared" si="4"/>
        <v>0</v>
      </c>
      <c r="E53" s="100" t="str">
        <f t="shared" si="0"/>
        <v>-</v>
      </c>
      <c r="F53" s="101" t="str">
        <f t="shared" si="1"/>
        <v>-</v>
      </c>
    </row>
    <row r="54" spans="1:6" ht="28.5" customHeight="1">
      <c r="A54" s="41" t="s">
        <v>54</v>
      </c>
      <c r="B54" s="42" t="s">
        <v>50</v>
      </c>
      <c r="C54" s="83">
        <v>212</v>
      </c>
      <c r="D54" s="83">
        <f t="shared" si="4"/>
        <v>212</v>
      </c>
      <c r="E54" s="100" t="str">
        <f t="shared" si="0"/>
        <v>-</v>
      </c>
      <c r="F54" s="101">
        <f t="shared" si="1"/>
        <v>1</v>
      </c>
    </row>
    <row r="55" spans="1:6" ht="28.5" customHeight="1">
      <c r="A55" s="30" t="s">
        <v>24</v>
      </c>
      <c r="B55" s="39" t="s">
        <v>25</v>
      </c>
      <c r="C55" s="79">
        <v>0</v>
      </c>
      <c r="D55" s="83">
        <f>C55</f>
        <v>0</v>
      </c>
      <c r="E55" s="100" t="str">
        <f t="shared" si="0"/>
        <v>-</v>
      </c>
      <c r="F55" s="101" t="str">
        <f t="shared" si="1"/>
        <v>-</v>
      </c>
    </row>
    <row r="56" spans="1:6" ht="28.5" customHeight="1">
      <c r="A56" s="30" t="s">
        <v>26</v>
      </c>
      <c r="B56" s="39" t="s">
        <v>189</v>
      </c>
      <c r="C56" s="79">
        <v>1757</v>
      </c>
      <c r="D56" s="83">
        <f>C56</f>
        <v>1757</v>
      </c>
      <c r="E56" s="100" t="str">
        <f t="shared" si="0"/>
        <v>-</v>
      </c>
      <c r="F56" s="104">
        <f t="shared" si="1"/>
        <v>1</v>
      </c>
    </row>
    <row r="57" spans="1:6" ht="28.5" customHeight="1">
      <c r="A57" s="30" t="s">
        <v>27</v>
      </c>
      <c r="B57" s="39" t="s">
        <v>28</v>
      </c>
      <c r="C57" s="79">
        <v>185</v>
      </c>
      <c r="D57" s="83">
        <f>C57</f>
        <v>185</v>
      </c>
      <c r="E57" s="100" t="str">
        <f t="shared" si="0"/>
        <v>-</v>
      </c>
      <c r="F57" s="101">
        <f t="shared" si="1"/>
        <v>1</v>
      </c>
    </row>
    <row r="58" spans="1:6" s="2" customFormat="1" ht="30" customHeight="1">
      <c r="A58" s="32" t="s">
        <v>29</v>
      </c>
      <c r="B58" s="44" t="s">
        <v>190</v>
      </c>
      <c r="C58" s="81">
        <f>C59+C60+C61+C62</f>
        <v>6823</v>
      </c>
      <c r="D58" s="26">
        <f>D59+D60+D61+D62</f>
        <v>6823</v>
      </c>
      <c r="E58" s="12" t="str">
        <f t="shared" si="0"/>
        <v>-</v>
      </c>
      <c r="F58" s="105">
        <f t="shared" si="1"/>
        <v>1</v>
      </c>
    </row>
    <row r="59" spans="1:6" ht="42" customHeight="1">
      <c r="A59" s="30" t="s">
        <v>104</v>
      </c>
      <c r="B59" s="39" t="s">
        <v>126</v>
      </c>
      <c r="C59" s="79">
        <v>10</v>
      </c>
      <c r="D59" s="83">
        <f t="shared" si="4"/>
        <v>10</v>
      </c>
      <c r="E59" s="75" t="str">
        <f t="shared" si="0"/>
        <v>-</v>
      </c>
      <c r="F59" s="101">
        <f t="shared" si="1"/>
        <v>1</v>
      </c>
    </row>
    <row r="60" spans="1:6" ht="31.5" customHeight="1">
      <c r="A60" s="30" t="s">
        <v>30</v>
      </c>
      <c r="B60" s="39" t="s">
        <v>57</v>
      </c>
      <c r="C60" s="79">
        <v>6313</v>
      </c>
      <c r="D60" s="83">
        <f t="shared" si="4"/>
        <v>6313</v>
      </c>
      <c r="E60" s="75" t="str">
        <f t="shared" si="0"/>
        <v>-</v>
      </c>
      <c r="F60" s="101">
        <f t="shared" si="1"/>
        <v>1</v>
      </c>
    </row>
    <row r="61" spans="1:6" ht="31.5" customHeight="1">
      <c r="A61" s="30" t="s">
        <v>31</v>
      </c>
      <c r="B61" s="39" t="s">
        <v>106</v>
      </c>
      <c r="C61" s="79">
        <v>0</v>
      </c>
      <c r="D61" s="83">
        <f t="shared" si="4"/>
        <v>0</v>
      </c>
      <c r="E61" s="75" t="str">
        <f t="shared" si="0"/>
        <v>-</v>
      </c>
      <c r="F61" s="101" t="str">
        <f t="shared" si="1"/>
        <v>-</v>
      </c>
    </row>
    <row r="62" spans="1:6" ht="31.5" customHeight="1">
      <c r="A62" s="30" t="s">
        <v>105</v>
      </c>
      <c r="B62" s="39" t="s">
        <v>107</v>
      </c>
      <c r="C62" s="79">
        <v>500</v>
      </c>
      <c r="D62" s="83">
        <f>C62</f>
        <v>500</v>
      </c>
      <c r="E62" s="75" t="str">
        <f t="shared" si="0"/>
        <v>-</v>
      </c>
      <c r="F62" s="101">
        <f t="shared" si="1"/>
        <v>1</v>
      </c>
    </row>
    <row r="63" spans="1:6" ht="32.25" customHeight="1">
      <c r="A63" s="32" t="s">
        <v>112</v>
      </c>
      <c r="B63" s="44" t="s">
        <v>133</v>
      </c>
      <c r="C63" s="81">
        <v>1550</v>
      </c>
      <c r="D63" s="26">
        <f>C63</f>
        <v>1550</v>
      </c>
      <c r="E63" s="12" t="str">
        <f t="shared" si="0"/>
        <v>-</v>
      </c>
      <c r="F63" s="105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63"/>
  <sheetViews>
    <sheetView showGridLines="0" view="pageBreakPreview" zoomScale="55" zoomScaleNormal="70" zoomScaleSheetLayoutView="55" zoomScalePageLayoutView="0" workbookViewId="0" topLeftCell="A1">
      <pane xSplit="2" ySplit="7" topLeftCell="C23" activePane="bottomRight" state="frozen"/>
      <selection pane="topLeft" activeCell="A2" sqref="A2:B2"/>
      <selection pane="topRight" activeCell="A2" sqref="A2:B2"/>
      <selection pane="bottomLeft" activeCell="A2" sqref="A2:B2"/>
      <selection pane="bottomRight" activeCell="A2" sqref="A2:B2"/>
    </sheetView>
  </sheetViews>
  <sheetFormatPr defaultColWidth="9.00390625" defaultRowHeight="12.75"/>
  <cols>
    <col min="1" max="1" width="9.125" style="1" customWidth="1"/>
    <col min="2" max="2" width="125.875" style="1" customWidth="1"/>
    <col min="3" max="3" width="25.75390625" style="1" customWidth="1"/>
    <col min="4" max="4" width="26.875" style="1" customWidth="1"/>
    <col min="5" max="6" width="20.75390625" style="1" customWidth="1"/>
    <col min="7" max="7" width="9.125" style="1" customWidth="1"/>
    <col min="8" max="8" width="9.375" style="1" bestFit="1" customWidth="1"/>
    <col min="9" max="16384" width="9.125" style="1" customWidth="1"/>
  </cols>
  <sheetData>
    <row r="1" spans="1:6" s="47" customFormat="1" ht="54.75" customHeight="1">
      <c r="A1" s="119" t="str">
        <f>NFZ!A1</f>
        <v>URUCHOMIENIE REZERWY NA KOSZTY ŚWIADCZEŃ OPIEKI ZDROWOTNEJ W RAMACH MIGRACJI UBEZPIECZONYCH Z DNIA 30 SIERPNIA 2012 R. W PLANIE FINANSOWYM NARODOWEGO FUNDUSZU ZDROWIA NA 2013 ROK</v>
      </c>
      <c r="B1" s="119"/>
      <c r="C1" s="119"/>
      <c r="D1" s="119"/>
      <c r="E1" s="119"/>
      <c r="F1" s="119"/>
    </row>
    <row r="2" spans="1:3" s="49" customFormat="1" ht="33" customHeight="1">
      <c r="A2" s="87" t="s">
        <v>71</v>
      </c>
      <c r="B2" s="87"/>
      <c r="C2" s="96"/>
    </row>
    <row r="3" spans="1:6" ht="33" customHeight="1">
      <c r="A3" s="7"/>
      <c r="B3" s="8"/>
      <c r="C3" s="86"/>
      <c r="D3" s="86"/>
      <c r="E3" s="86" t="s">
        <v>166</v>
      </c>
      <c r="F3" s="9"/>
    </row>
    <row r="4" spans="1:6" s="5" customFormat="1" ht="45" customHeight="1">
      <c r="A4" s="114" t="s">
        <v>137</v>
      </c>
      <c r="B4" s="114" t="s">
        <v>56</v>
      </c>
      <c r="C4" s="115" t="s">
        <v>206</v>
      </c>
      <c r="D4" s="115" t="s">
        <v>203</v>
      </c>
      <c r="E4" s="118" t="s">
        <v>204</v>
      </c>
      <c r="F4" s="118" t="s">
        <v>205</v>
      </c>
    </row>
    <row r="5" spans="1:6" s="5" customFormat="1" ht="45" customHeight="1">
      <c r="A5" s="114"/>
      <c r="B5" s="114"/>
      <c r="C5" s="116"/>
      <c r="D5" s="116"/>
      <c r="E5" s="118"/>
      <c r="F5" s="118"/>
    </row>
    <row r="6" spans="1:6" s="3" customFormat="1" ht="14.25">
      <c r="A6" s="46">
        <v>1</v>
      </c>
      <c r="B6" s="51">
        <v>2</v>
      </c>
      <c r="C6" s="46">
        <v>3</v>
      </c>
      <c r="D6" s="51">
        <v>4</v>
      </c>
      <c r="E6" s="46">
        <v>5</v>
      </c>
      <c r="F6" s="51">
        <v>6</v>
      </c>
    </row>
    <row r="7" spans="1:6" s="2" customFormat="1" ht="30" customHeight="1">
      <c r="A7" s="22" t="s">
        <v>0</v>
      </c>
      <c r="B7" s="38" t="s">
        <v>174</v>
      </c>
      <c r="C7" s="97">
        <f>C8+C9+C10+C15+C16+C17+C18+C19+C20+C21+C22+C23+C24+C25+C29+C30+C32+C33</f>
        <v>3328089</v>
      </c>
      <c r="D7" s="15">
        <f>D8+D9+D10+D15+D16+D17+D18+D19+D20+D21+D22+D23+D24+D25+D29+D30+D32+D33</f>
        <v>3328089</v>
      </c>
      <c r="E7" s="12" t="str">
        <f>IF(C7=D7,"-",D7-C7)</f>
        <v>-</v>
      </c>
      <c r="F7" s="99">
        <f>IF(C7=0,"-",D7/C7)</f>
        <v>1</v>
      </c>
    </row>
    <row r="8" spans="1:8" ht="33" customHeight="1">
      <c r="A8" s="28" t="s">
        <v>1</v>
      </c>
      <c r="B8" s="76" t="s">
        <v>138</v>
      </c>
      <c r="C8" s="79">
        <v>414444</v>
      </c>
      <c r="D8" s="24">
        <f>C8</f>
        <v>414444</v>
      </c>
      <c r="E8" s="100" t="str">
        <f aca="true" t="shared" si="0" ref="E8:E63">IF(C8=D8,"-",D8-C8)</f>
        <v>-</v>
      </c>
      <c r="F8" s="101">
        <f aca="true" t="shared" si="1" ref="F8:F63">IF(C8=0,"-",D8/C8)</f>
        <v>1</v>
      </c>
      <c r="G8" s="1">
        <v>414444</v>
      </c>
      <c r="H8" s="85">
        <f>D8-G8</f>
        <v>0</v>
      </c>
    </row>
    <row r="9" spans="1:8" ht="33" customHeight="1">
      <c r="A9" s="28" t="s">
        <v>2</v>
      </c>
      <c r="B9" s="76" t="s">
        <v>139</v>
      </c>
      <c r="C9" s="79">
        <v>253424</v>
      </c>
      <c r="D9" s="24">
        <f>C9+10865</f>
        <v>264289</v>
      </c>
      <c r="E9" s="100">
        <f t="shared" si="0"/>
        <v>10865</v>
      </c>
      <c r="F9" s="101">
        <f t="shared" si="1"/>
        <v>1.0429</v>
      </c>
      <c r="G9" s="1">
        <v>264289</v>
      </c>
      <c r="H9" s="85">
        <f aca="true" t="shared" si="2" ref="H9:H36">D9-G9</f>
        <v>0</v>
      </c>
    </row>
    <row r="10" spans="1:8" ht="33" customHeight="1">
      <c r="A10" s="28" t="s">
        <v>3</v>
      </c>
      <c r="B10" s="76" t="s">
        <v>136</v>
      </c>
      <c r="C10" s="79">
        <v>1379054</v>
      </c>
      <c r="D10" s="24">
        <f>C10+161599+1547+16233+8246+5457</f>
        <v>1572136</v>
      </c>
      <c r="E10" s="100">
        <f t="shared" si="0"/>
        <v>193082</v>
      </c>
      <c r="F10" s="101">
        <f t="shared" si="1"/>
        <v>1.14</v>
      </c>
      <c r="G10" s="1">
        <v>1572136</v>
      </c>
      <c r="H10" s="85">
        <f t="shared" si="2"/>
        <v>0</v>
      </c>
    </row>
    <row r="11" spans="1:8" ht="31.5" customHeight="1">
      <c r="A11" s="77" t="s">
        <v>58</v>
      </c>
      <c r="B11" s="88" t="s">
        <v>167</v>
      </c>
      <c r="C11" s="79">
        <v>101472</v>
      </c>
      <c r="D11" s="24">
        <f>C11+1547+16233</f>
        <v>119252</v>
      </c>
      <c r="E11" s="100">
        <f t="shared" si="0"/>
        <v>17780</v>
      </c>
      <c r="F11" s="101">
        <f t="shared" si="1"/>
        <v>1.1752</v>
      </c>
      <c r="G11" s="1">
        <v>119252</v>
      </c>
      <c r="H11" s="85">
        <f t="shared" si="2"/>
        <v>0</v>
      </c>
    </row>
    <row r="12" spans="1:8" ht="31.5" customHeight="1">
      <c r="A12" s="77" t="s">
        <v>168</v>
      </c>
      <c r="B12" s="88" t="s">
        <v>171</v>
      </c>
      <c r="C12" s="79">
        <v>86272</v>
      </c>
      <c r="D12" s="24">
        <f>C12+16233</f>
        <v>102505</v>
      </c>
      <c r="E12" s="100">
        <f t="shared" si="0"/>
        <v>16233</v>
      </c>
      <c r="F12" s="101">
        <f t="shared" si="1"/>
        <v>1.1882</v>
      </c>
      <c r="G12" s="1">
        <v>102505</v>
      </c>
      <c r="H12" s="85">
        <f t="shared" si="2"/>
        <v>0</v>
      </c>
    </row>
    <row r="13" spans="1:8" ht="31.5" customHeight="1">
      <c r="A13" s="77" t="s">
        <v>169</v>
      </c>
      <c r="B13" s="88" t="s">
        <v>172</v>
      </c>
      <c r="C13" s="79">
        <v>56690</v>
      </c>
      <c r="D13" s="24">
        <f>C13+8246+5457</f>
        <v>70393</v>
      </c>
      <c r="E13" s="100">
        <f t="shared" si="0"/>
        <v>13703</v>
      </c>
      <c r="F13" s="101">
        <f t="shared" si="1"/>
        <v>1.2417</v>
      </c>
      <c r="G13" s="1">
        <v>70393</v>
      </c>
      <c r="H13" s="85">
        <f t="shared" si="2"/>
        <v>0</v>
      </c>
    </row>
    <row r="14" spans="1:8" ht="31.5" customHeight="1">
      <c r="A14" s="77" t="s">
        <v>170</v>
      </c>
      <c r="B14" s="88" t="s">
        <v>173</v>
      </c>
      <c r="C14" s="79">
        <v>30520</v>
      </c>
      <c r="D14" s="24">
        <f>C14+5457</f>
        <v>35977</v>
      </c>
      <c r="E14" s="100">
        <f t="shared" si="0"/>
        <v>5457</v>
      </c>
      <c r="F14" s="101">
        <f t="shared" si="1"/>
        <v>1.1788</v>
      </c>
      <c r="G14" s="1">
        <v>35977</v>
      </c>
      <c r="H14" s="85">
        <f t="shared" si="2"/>
        <v>0</v>
      </c>
    </row>
    <row r="15" spans="1:8" ht="33" customHeight="1">
      <c r="A15" s="28" t="s">
        <v>4</v>
      </c>
      <c r="B15" s="76" t="s">
        <v>144</v>
      </c>
      <c r="C15" s="79">
        <v>96251</v>
      </c>
      <c r="D15" s="24">
        <f>C15+11098</f>
        <v>107349</v>
      </c>
      <c r="E15" s="100">
        <f t="shared" si="0"/>
        <v>11098</v>
      </c>
      <c r="F15" s="101">
        <f t="shared" si="1"/>
        <v>1.1153</v>
      </c>
      <c r="G15" s="1">
        <v>107349</v>
      </c>
      <c r="H15" s="85">
        <f t="shared" si="2"/>
        <v>0</v>
      </c>
    </row>
    <row r="16" spans="1:8" ht="33" customHeight="1">
      <c r="A16" s="28" t="s">
        <v>5</v>
      </c>
      <c r="B16" s="76" t="s">
        <v>140</v>
      </c>
      <c r="C16" s="79">
        <v>133452</v>
      </c>
      <c r="D16" s="24">
        <f>C16+5932</f>
        <v>139384</v>
      </c>
      <c r="E16" s="100">
        <f t="shared" si="0"/>
        <v>5932</v>
      </c>
      <c r="F16" s="101">
        <f t="shared" si="1"/>
        <v>1.0445</v>
      </c>
      <c r="G16" s="1">
        <v>139384</v>
      </c>
      <c r="H16" s="85">
        <f t="shared" si="2"/>
        <v>0</v>
      </c>
    </row>
    <row r="17" spans="1:8" ht="33" customHeight="1">
      <c r="A17" s="28" t="s">
        <v>6</v>
      </c>
      <c r="B17" s="76" t="s">
        <v>146</v>
      </c>
      <c r="C17" s="79">
        <v>85605</v>
      </c>
      <c r="D17" s="24">
        <f>C17+1443</f>
        <v>87048</v>
      </c>
      <c r="E17" s="100">
        <f t="shared" si="0"/>
        <v>1443</v>
      </c>
      <c r="F17" s="101">
        <f t="shared" si="1"/>
        <v>1.0169</v>
      </c>
      <c r="G17" s="1">
        <v>87048</v>
      </c>
      <c r="H17" s="85">
        <f t="shared" si="2"/>
        <v>0</v>
      </c>
    </row>
    <row r="18" spans="1:8" ht="33" customHeight="1">
      <c r="A18" s="28" t="s">
        <v>7</v>
      </c>
      <c r="B18" s="76" t="s">
        <v>145</v>
      </c>
      <c r="C18" s="79">
        <v>19369</v>
      </c>
      <c r="D18" s="24">
        <f>C18+636</f>
        <v>20005</v>
      </c>
      <c r="E18" s="100">
        <f t="shared" si="0"/>
        <v>636</v>
      </c>
      <c r="F18" s="101">
        <f t="shared" si="1"/>
        <v>1.0328</v>
      </c>
      <c r="G18" s="1">
        <v>20005</v>
      </c>
      <c r="H18" s="85">
        <f t="shared" si="2"/>
        <v>0</v>
      </c>
    </row>
    <row r="19" spans="1:8" ht="33" customHeight="1">
      <c r="A19" s="28" t="s">
        <v>8</v>
      </c>
      <c r="B19" s="76" t="s">
        <v>141</v>
      </c>
      <c r="C19" s="79">
        <v>102407</v>
      </c>
      <c r="D19" s="24">
        <f>C19+3742</f>
        <v>106149</v>
      </c>
      <c r="E19" s="100">
        <f t="shared" si="0"/>
        <v>3742</v>
      </c>
      <c r="F19" s="101">
        <f t="shared" si="1"/>
        <v>1.0365</v>
      </c>
      <c r="G19" s="1">
        <v>106149</v>
      </c>
      <c r="H19" s="85">
        <f t="shared" si="2"/>
        <v>0</v>
      </c>
    </row>
    <row r="20" spans="1:8" ht="33" customHeight="1">
      <c r="A20" s="28" t="s">
        <v>9</v>
      </c>
      <c r="B20" s="76" t="s">
        <v>142</v>
      </c>
      <c r="C20" s="79">
        <v>31955</v>
      </c>
      <c r="D20" s="24">
        <f>C20</f>
        <v>31955</v>
      </c>
      <c r="E20" s="100" t="str">
        <f t="shared" si="0"/>
        <v>-</v>
      </c>
      <c r="F20" s="101">
        <f t="shared" si="1"/>
        <v>1</v>
      </c>
      <c r="G20" s="1">
        <v>31955</v>
      </c>
      <c r="H20" s="85">
        <f t="shared" si="2"/>
        <v>0</v>
      </c>
    </row>
    <row r="21" spans="1:8" ht="33" customHeight="1">
      <c r="A21" s="28" t="s">
        <v>10</v>
      </c>
      <c r="B21" s="76" t="s">
        <v>147</v>
      </c>
      <c r="C21" s="79">
        <v>3007</v>
      </c>
      <c r="D21" s="24">
        <f>C21</f>
        <v>3007</v>
      </c>
      <c r="E21" s="100" t="str">
        <f t="shared" si="0"/>
        <v>-</v>
      </c>
      <c r="F21" s="101">
        <f t="shared" si="1"/>
        <v>1</v>
      </c>
      <c r="G21" s="1">
        <v>3007</v>
      </c>
      <c r="H21" s="85">
        <f t="shared" si="2"/>
        <v>0</v>
      </c>
    </row>
    <row r="22" spans="1:8" ht="46.5" customHeight="1">
      <c r="A22" s="28" t="s">
        <v>11</v>
      </c>
      <c r="B22" s="76" t="s">
        <v>143</v>
      </c>
      <c r="C22" s="79">
        <v>7207</v>
      </c>
      <c r="D22" s="24">
        <f>C22+217</f>
        <v>7424</v>
      </c>
      <c r="E22" s="100">
        <f t="shared" si="0"/>
        <v>217</v>
      </c>
      <c r="F22" s="101">
        <f t="shared" si="1"/>
        <v>1.0301</v>
      </c>
      <c r="G22" s="1">
        <v>7424</v>
      </c>
      <c r="H22" s="85">
        <f t="shared" si="2"/>
        <v>0</v>
      </c>
    </row>
    <row r="23" spans="1:8" ht="33" customHeight="1">
      <c r="A23" s="28" t="s">
        <v>12</v>
      </c>
      <c r="B23" s="76" t="s">
        <v>197</v>
      </c>
      <c r="C23" s="79">
        <v>73137</v>
      </c>
      <c r="D23" s="24">
        <f>C23+10350</f>
        <v>83487</v>
      </c>
      <c r="E23" s="100">
        <f t="shared" si="0"/>
        <v>10350</v>
      </c>
      <c r="F23" s="101">
        <f t="shared" si="1"/>
        <v>1.1415</v>
      </c>
      <c r="G23" s="1">
        <v>83487</v>
      </c>
      <c r="H23" s="85">
        <f t="shared" si="2"/>
        <v>0</v>
      </c>
    </row>
    <row r="24" spans="1:8" ht="33" customHeight="1">
      <c r="A24" s="28" t="s">
        <v>13</v>
      </c>
      <c r="B24" s="76" t="s">
        <v>175</v>
      </c>
      <c r="C24" s="79">
        <v>40698</v>
      </c>
      <c r="D24" s="24">
        <f aca="true" t="shared" si="3" ref="D24:D31">C24</f>
        <v>40698</v>
      </c>
      <c r="E24" s="100" t="str">
        <f t="shared" si="0"/>
        <v>-</v>
      </c>
      <c r="F24" s="101">
        <f t="shared" si="1"/>
        <v>1</v>
      </c>
      <c r="G24" s="1">
        <v>40698</v>
      </c>
      <c r="H24" s="85">
        <f t="shared" si="2"/>
        <v>0</v>
      </c>
    </row>
    <row r="25" spans="1:8" ht="33" customHeight="1">
      <c r="A25" s="29" t="s">
        <v>14</v>
      </c>
      <c r="B25" s="76" t="s">
        <v>176</v>
      </c>
      <c r="C25" s="79">
        <v>396000</v>
      </c>
      <c r="D25" s="24">
        <f t="shared" si="3"/>
        <v>396000</v>
      </c>
      <c r="E25" s="100" t="str">
        <f t="shared" si="0"/>
        <v>-</v>
      </c>
      <c r="F25" s="101">
        <f t="shared" si="1"/>
        <v>1</v>
      </c>
      <c r="G25" s="1">
        <v>396000</v>
      </c>
      <c r="H25" s="85">
        <f t="shared" si="2"/>
        <v>0</v>
      </c>
    </row>
    <row r="26" spans="1:8" ht="31.5">
      <c r="A26" s="27" t="s">
        <v>148</v>
      </c>
      <c r="B26" s="88" t="s">
        <v>178</v>
      </c>
      <c r="C26" s="79">
        <v>383017</v>
      </c>
      <c r="D26" s="24">
        <f t="shared" si="3"/>
        <v>383017</v>
      </c>
      <c r="E26" s="100" t="str">
        <f t="shared" si="0"/>
        <v>-</v>
      </c>
      <c r="F26" s="101">
        <f t="shared" si="1"/>
        <v>1</v>
      </c>
      <c r="G26" s="1">
        <v>383017</v>
      </c>
      <c r="H26" s="85">
        <f t="shared" si="2"/>
        <v>0</v>
      </c>
    </row>
    <row r="27" spans="1:8" ht="31.5" customHeight="1">
      <c r="A27" s="77" t="s">
        <v>177</v>
      </c>
      <c r="B27" s="88" t="s">
        <v>180</v>
      </c>
      <c r="C27" s="79">
        <v>10944</v>
      </c>
      <c r="D27" s="24">
        <f t="shared" si="3"/>
        <v>10944</v>
      </c>
      <c r="E27" s="100" t="str">
        <f t="shared" si="0"/>
        <v>-</v>
      </c>
      <c r="F27" s="101">
        <f t="shared" si="1"/>
        <v>1</v>
      </c>
      <c r="G27" s="1">
        <v>10944</v>
      </c>
      <c r="H27" s="85">
        <f t="shared" si="2"/>
        <v>0</v>
      </c>
    </row>
    <row r="28" spans="1:8" ht="31.5" customHeight="1">
      <c r="A28" s="77" t="s">
        <v>181</v>
      </c>
      <c r="B28" s="88" t="s">
        <v>179</v>
      </c>
      <c r="C28" s="79">
        <v>2039</v>
      </c>
      <c r="D28" s="24">
        <f t="shared" si="3"/>
        <v>2039</v>
      </c>
      <c r="E28" s="100" t="str">
        <f t="shared" si="0"/>
        <v>-</v>
      </c>
      <c r="F28" s="101">
        <f t="shared" si="1"/>
        <v>1</v>
      </c>
      <c r="G28" s="1">
        <v>2039</v>
      </c>
      <c r="H28" s="85">
        <f t="shared" si="2"/>
        <v>0</v>
      </c>
    </row>
    <row r="29" spans="1:8" ht="33" customHeight="1">
      <c r="A29" s="30" t="s">
        <v>15</v>
      </c>
      <c r="B29" s="35" t="s">
        <v>124</v>
      </c>
      <c r="C29" s="79">
        <v>0</v>
      </c>
      <c r="D29" s="24">
        <f t="shared" si="3"/>
        <v>0</v>
      </c>
      <c r="E29" s="100" t="str">
        <f t="shared" si="0"/>
        <v>-</v>
      </c>
      <c r="F29" s="101" t="str">
        <f t="shared" si="1"/>
        <v>-</v>
      </c>
      <c r="G29" s="1">
        <v>0</v>
      </c>
      <c r="H29" s="85">
        <f t="shared" si="2"/>
        <v>0</v>
      </c>
    </row>
    <row r="30" spans="1:8" ht="33" customHeight="1">
      <c r="A30" s="30" t="s">
        <v>121</v>
      </c>
      <c r="B30" s="39" t="s">
        <v>182</v>
      </c>
      <c r="C30" s="79">
        <v>0</v>
      </c>
      <c r="D30" s="24">
        <f t="shared" si="3"/>
        <v>0</v>
      </c>
      <c r="E30" s="100" t="str">
        <f t="shared" si="0"/>
        <v>-</v>
      </c>
      <c r="F30" s="101" t="str">
        <f t="shared" si="1"/>
        <v>-</v>
      </c>
      <c r="G30" s="1">
        <v>0</v>
      </c>
      <c r="H30" s="85">
        <f t="shared" si="2"/>
        <v>0</v>
      </c>
    </row>
    <row r="31" spans="1:8" ht="31.5" customHeight="1">
      <c r="A31" s="77" t="s">
        <v>183</v>
      </c>
      <c r="B31" s="88" t="s">
        <v>199</v>
      </c>
      <c r="C31" s="79">
        <v>0</v>
      </c>
      <c r="D31" s="24">
        <f t="shared" si="3"/>
        <v>0</v>
      </c>
      <c r="E31" s="100" t="str">
        <f t="shared" si="0"/>
        <v>-</v>
      </c>
      <c r="F31" s="101" t="str">
        <f t="shared" si="1"/>
        <v>-</v>
      </c>
      <c r="G31" s="1">
        <v>0</v>
      </c>
      <c r="H31" s="85">
        <f t="shared" si="2"/>
        <v>0</v>
      </c>
    </row>
    <row r="32" spans="1:8" ht="33" customHeight="1">
      <c r="A32" s="30" t="s">
        <v>122</v>
      </c>
      <c r="B32" s="36" t="s">
        <v>125</v>
      </c>
      <c r="C32" s="79">
        <v>245600</v>
      </c>
      <c r="D32" s="24">
        <f>C32-245600</f>
        <v>0</v>
      </c>
      <c r="E32" s="100">
        <f t="shared" si="0"/>
        <v>-245600</v>
      </c>
      <c r="F32" s="101">
        <f t="shared" si="1"/>
        <v>0</v>
      </c>
      <c r="G32" s="1">
        <v>0</v>
      </c>
      <c r="H32" s="85">
        <f t="shared" si="2"/>
        <v>0</v>
      </c>
    </row>
    <row r="33" spans="1:8" ht="33" customHeight="1">
      <c r="A33" s="30" t="s">
        <v>123</v>
      </c>
      <c r="B33" s="39" t="s">
        <v>198</v>
      </c>
      <c r="C33" s="79">
        <v>46479</v>
      </c>
      <c r="D33" s="24">
        <f>C33+8235</f>
        <v>54714</v>
      </c>
      <c r="E33" s="100">
        <f t="shared" si="0"/>
        <v>8235</v>
      </c>
      <c r="F33" s="101">
        <f t="shared" si="1"/>
        <v>1.1772</v>
      </c>
      <c r="G33" s="1">
        <v>54714</v>
      </c>
      <c r="H33" s="85">
        <f t="shared" si="2"/>
        <v>0</v>
      </c>
    </row>
    <row r="34" spans="1:8" s="4" customFormat="1" ht="31.5" customHeight="1">
      <c r="A34" s="31" t="s">
        <v>60</v>
      </c>
      <c r="B34" s="37" t="s">
        <v>61</v>
      </c>
      <c r="C34" s="82">
        <v>0</v>
      </c>
      <c r="D34" s="94">
        <f>C34</f>
        <v>0</v>
      </c>
      <c r="E34" s="14" t="str">
        <f t="shared" si="0"/>
        <v>-</v>
      </c>
      <c r="F34" s="102" t="str">
        <f t="shared" si="1"/>
        <v>-</v>
      </c>
      <c r="G34" s="4">
        <v>0</v>
      </c>
      <c r="H34" s="85">
        <f t="shared" si="2"/>
        <v>0</v>
      </c>
    </row>
    <row r="35" spans="1:8" s="4" customFormat="1" ht="31.5" customHeight="1">
      <c r="A35" s="31" t="s">
        <v>59</v>
      </c>
      <c r="B35" s="37" t="s">
        <v>62</v>
      </c>
      <c r="C35" s="82">
        <v>106415</v>
      </c>
      <c r="D35" s="95">
        <f>C35</f>
        <v>106415</v>
      </c>
      <c r="E35" s="14" t="str">
        <f t="shared" si="0"/>
        <v>-</v>
      </c>
      <c r="F35" s="102">
        <f t="shared" si="1"/>
        <v>1</v>
      </c>
      <c r="G35" s="4">
        <v>106415</v>
      </c>
      <c r="H35" s="85">
        <f t="shared" si="2"/>
        <v>0</v>
      </c>
    </row>
    <row r="36" spans="1:8" s="4" customFormat="1" ht="42.75" customHeight="1">
      <c r="A36" s="31" t="s">
        <v>184</v>
      </c>
      <c r="B36" s="37" t="s">
        <v>185</v>
      </c>
      <c r="C36" s="82">
        <f>C12+C14+C25+C31</f>
        <v>512792</v>
      </c>
      <c r="D36" s="82">
        <f>D12+D14+D25+D31</f>
        <v>534482</v>
      </c>
      <c r="E36" s="14">
        <f t="shared" si="0"/>
        <v>21690</v>
      </c>
      <c r="F36" s="102">
        <f t="shared" si="1"/>
        <v>1.0423</v>
      </c>
      <c r="G36" s="4">
        <v>534482</v>
      </c>
      <c r="H36" s="85">
        <f t="shared" si="2"/>
        <v>0</v>
      </c>
    </row>
    <row r="37" spans="1:6" s="2" customFormat="1" ht="30" customHeight="1">
      <c r="A37" s="25" t="s">
        <v>16</v>
      </c>
      <c r="B37" s="44" t="s">
        <v>195</v>
      </c>
      <c r="C37" s="23">
        <f>C38+C39+C40+C48+C50+C56+C57+C55</f>
        <v>23307</v>
      </c>
      <c r="D37" s="23">
        <f>D38+D39+D40+D48+D50+D56+D57+D55</f>
        <v>23307</v>
      </c>
      <c r="E37" s="12" t="str">
        <f t="shared" si="0"/>
        <v>-</v>
      </c>
      <c r="F37" s="103">
        <f t="shared" si="1"/>
        <v>1</v>
      </c>
    </row>
    <row r="38" spans="1:6" ht="28.5" customHeight="1">
      <c r="A38" s="30" t="s">
        <v>17</v>
      </c>
      <c r="B38" s="39" t="s">
        <v>18</v>
      </c>
      <c r="C38" s="79">
        <v>969</v>
      </c>
      <c r="D38" s="83">
        <f>C38</f>
        <v>969</v>
      </c>
      <c r="E38" s="100" t="str">
        <f t="shared" si="0"/>
        <v>-</v>
      </c>
      <c r="F38" s="101">
        <f t="shared" si="1"/>
        <v>1</v>
      </c>
    </row>
    <row r="39" spans="1:6" ht="28.5" customHeight="1">
      <c r="A39" s="30" t="s">
        <v>19</v>
      </c>
      <c r="B39" s="39" t="s">
        <v>20</v>
      </c>
      <c r="C39" s="79">
        <v>2495</v>
      </c>
      <c r="D39" s="83">
        <f>C39</f>
        <v>2495</v>
      </c>
      <c r="E39" s="100" t="str">
        <f t="shared" si="0"/>
        <v>-</v>
      </c>
      <c r="F39" s="101">
        <f t="shared" si="1"/>
        <v>1</v>
      </c>
    </row>
    <row r="40" spans="1:6" ht="28.5" customHeight="1">
      <c r="A40" s="30" t="s">
        <v>21</v>
      </c>
      <c r="B40" s="40" t="s">
        <v>32</v>
      </c>
      <c r="C40" s="93">
        <f>C41+C43+C44+C45+C46+C47</f>
        <v>116</v>
      </c>
      <c r="D40" s="83">
        <f>D41+D43+D44+D45+D46+D47</f>
        <v>116</v>
      </c>
      <c r="E40" s="100" t="str">
        <f t="shared" si="0"/>
        <v>-</v>
      </c>
      <c r="F40" s="101">
        <f t="shared" si="1"/>
        <v>1</v>
      </c>
    </row>
    <row r="41" spans="1:6" ht="28.5" customHeight="1">
      <c r="A41" s="41" t="s">
        <v>40</v>
      </c>
      <c r="B41" s="42" t="s">
        <v>33</v>
      </c>
      <c r="C41" s="79">
        <v>25</v>
      </c>
      <c r="D41" s="83">
        <f>C41</f>
        <v>25</v>
      </c>
      <c r="E41" s="100" t="str">
        <f t="shared" si="0"/>
        <v>-</v>
      </c>
      <c r="F41" s="101">
        <f t="shared" si="1"/>
        <v>1</v>
      </c>
    </row>
    <row r="42" spans="1:6" ht="28.5" customHeight="1">
      <c r="A42" s="41" t="s">
        <v>41</v>
      </c>
      <c r="B42" s="43" t="s">
        <v>34</v>
      </c>
      <c r="C42" s="79">
        <v>25</v>
      </c>
      <c r="D42" s="83">
        <f aca="true" t="shared" si="4" ref="D42:D61">C42</f>
        <v>25</v>
      </c>
      <c r="E42" s="100" t="str">
        <f t="shared" si="0"/>
        <v>-</v>
      </c>
      <c r="F42" s="101">
        <f t="shared" si="1"/>
        <v>1</v>
      </c>
    </row>
    <row r="43" spans="1:6" ht="28.5" customHeight="1">
      <c r="A43" s="41" t="s">
        <v>42</v>
      </c>
      <c r="B43" s="42" t="s">
        <v>35</v>
      </c>
      <c r="C43" s="79">
        <v>0</v>
      </c>
      <c r="D43" s="83">
        <f t="shared" si="4"/>
        <v>0</v>
      </c>
      <c r="E43" s="100" t="str">
        <f t="shared" si="0"/>
        <v>-</v>
      </c>
      <c r="F43" s="101" t="str">
        <f t="shared" si="1"/>
        <v>-</v>
      </c>
    </row>
    <row r="44" spans="1:6" ht="28.5" customHeight="1">
      <c r="A44" s="41" t="s">
        <v>43</v>
      </c>
      <c r="B44" s="42" t="s">
        <v>36</v>
      </c>
      <c r="C44" s="79">
        <v>0</v>
      </c>
      <c r="D44" s="83">
        <f t="shared" si="4"/>
        <v>0</v>
      </c>
      <c r="E44" s="100" t="str">
        <f t="shared" si="0"/>
        <v>-</v>
      </c>
      <c r="F44" s="101" t="str">
        <f t="shared" si="1"/>
        <v>-</v>
      </c>
    </row>
    <row r="45" spans="1:6" ht="28.5" customHeight="1">
      <c r="A45" s="41" t="s">
        <v>44</v>
      </c>
      <c r="B45" s="42" t="s">
        <v>37</v>
      </c>
      <c r="C45" s="79">
        <v>0</v>
      </c>
      <c r="D45" s="83">
        <f t="shared" si="4"/>
        <v>0</v>
      </c>
      <c r="E45" s="100" t="str">
        <f t="shared" si="0"/>
        <v>-</v>
      </c>
      <c r="F45" s="101" t="str">
        <f t="shared" si="1"/>
        <v>-</v>
      </c>
    </row>
    <row r="46" spans="1:6" ht="28.5" customHeight="1">
      <c r="A46" s="41" t="s">
        <v>45</v>
      </c>
      <c r="B46" s="42" t="s">
        <v>38</v>
      </c>
      <c r="C46" s="79">
        <v>59</v>
      </c>
      <c r="D46" s="83">
        <f t="shared" si="4"/>
        <v>59</v>
      </c>
      <c r="E46" s="100" t="str">
        <f t="shared" si="0"/>
        <v>-</v>
      </c>
      <c r="F46" s="101">
        <f t="shared" si="1"/>
        <v>1</v>
      </c>
    </row>
    <row r="47" spans="1:6" ht="28.5" customHeight="1">
      <c r="A47" s="41" t="s">
        <v>46</v>
      </c>
      <c r="B47" s="42" t="s">
        <v>39</v>
      </c>
      <c r="C47" s="79">
        <v>32</v>
      </c>
      <c r="D47" s="83">
        <f>C47</f>
        <v>32</v>
      </c>
      <c r="E47" s="100" t="str">
        <f t="shared" si="0"/>
        <v>-</v>
      </c>
      <c r="F47" s="101">
        <f t="shared" si="1"/>
        <v>1</v>
      </c>
    </row>
    <row r="48" spans="1:6" ht="28.5" customHeight="1">
      <c r="A48" s="30" t="s">
        <v>22</v>
      </c>
      <c r="B48" s="39" t="s">
        <v>186</v>
      </c>
      <c r="C48" s="79">
        <v>13082</v>
      </c>
      <c r="D48" s="83">
        <f>C48</f>
        <v>13082</v>
      </c>
      <c r="E48" s="100" t="str">
        <f t="shared" si="0"/>
        <v>-</v>
      </c>
      <c r="F48" s="101">
        <f t="shared" si="1"/>
        <v>1</v>
      </c>
    </row>
    <row r="49" spans="1:6" ht="28.5" customHeight="1">
      <c r="A49" s="41" t="s">
        <v>187</v>
      </c>
      <c r="B49" s="42" t="s">
        <v>188</v>
      </c>
      <c r="C49" s="79">
        <v>10</v>
      </c>
      <c r="D49" s="83">
        <f>C49</f>
        <v>10</v>
      </c>
      <c r="E49" s="100" t="str">
        <f t="shared" si="0"/>
        <v>-</v>
      </c>
      <c r="F49" s="101">
        <f t="shared" si="1"/>
        <v>1</v>
      </c>
    </row>
    <row r="50" spans="1:6" ht="28.5" customHeight="1">
      <c r="A50" s="30" t="s">
        <v>23</v>
      </c>
      <c r="B50" s="40" t="s">
        <v>55</v>
      </c>
      <c r="C50" s="93">
        <f>C51+C52+C53+C54</f>
        <v>2905</v>
      </c>
      <c r="D50" s="83">
        <f>D51+D52+D53+D54</f>
        <v>2905</v>
      </c>
      <c r="E50" s="100" t="str">
        <f t="shared" si="0"/>
        <v>-</v>
      </c>
      <c r="F50" s="101">
        <f t="shared" si="1"/>
        <v>1</v>
      </c>
    </row>
    <row r="51" spans="1:6" ht="28.5" customHeight="1">
      <c r="A51" s="41" t="s">
        <v>51</v>
      </c>
      <c r="B51" s="42" t="s">
        <v>47</v>
      </c>
      <c r="C51" s="83">
        <v>2249</v>
      </c>
      <c r="D51" s="83">
        <f t="shared" si="4"/>
        <v>2249</v>
      </c>
      <c r="E51" s="100" t="str">
        <f t="shared" si="0"/>
        <v>-</v>
      </c>
      <c r="F51" s="101">
        <f t="shared" si="1"/>
        <v>1</v>
      </c>
    </row>
    <row r="52" spans="1:6" ht="28.5" customHeight="1">
      <c r="A52" s="41" t="s">
        <v>52</v>
      </c>
      <c r="B52" s="42" t="s">
        <v>48</v>
      </c>
      <c r="C52" s="83">
        <v>321</v>
      </c>
      <c r="D52" s="83">
        <f t="shared" si="4"/>
        <v>321</v>
      </c>
      <c r="E52" s="100" t="str">
        <f t="shared" si="0"/>
        <v>-</v>
      </c>
      <c r="F52" s="101">
        <f t="shared" si="1"/>
        <v>1</v>
      </c>
    </row>
    <row r="53" spans="1:6" ht="28.5" customHeight="1">
      <c r="A53" s="41" t="s">
        <v>53</v>
      </c>
      <c r="B53" s="42" t="s">
        <v>49</v>
      </c>
      <c r="C53" s="83">
        <v>0</v>
      </c>
      <c r="D53" s="83">
        <f t="shared" si="4"/>
        <v>0</v>
      </c>
      <c r="E53" s="100" t="str">
        <f t="shared" si="0"/>
        <v>-</v>
      </c>
      <c r="F53" s="101" t="str">
        <f t="shared" si="1"/>
        <v>-</v>
      </c>
    </row>
    <row r="54" spans="1:6" ht="28.5" customHeight="1">
      <c r="A54" s="41" t="s">
        <v>54</v>
      </c>
      <c r="B54" s="42" t="s">
        <v>50</v>
      </c>
      <c r="C54" s="83">
        <v>335</v>
      </c>
      <c r="D54" s="83">
        <f t="shared" si="4"/>
        <v>335</v>
      </c>
      <c r="E54" s="100" t="str">
        <f t="shared" si="0"/>
        <v>-</v>
      </c>
      <c r="F54" s="101">
        <f t="shared" si="1"/>
        <v>1</v>
      </c>
    </row>
    <row r="55" spans="1:6" ht="28.5" customHeight="1">
      <c r="A55" s="30" t="s">
        <v>24</v>
      </c>
      <c r="B55" s="39" t="s">
        <v>25</v>
      </c>
      <c r="C55" s="79">
        <v>0</v>
      </c>
      <c r="D55" s="83">
        <f>C55</f>
        <v>0</v>
      </c>
      <c r="E55" s="100" t="str">
        <f t="shared" si="0"/>
        <v>-</v>
      </c>
      <c r="F55" s="101" t="str">
        <f t="shared" si="1"/>
        <v>-</v>
      </c>
    </row>
    <row r="56" spans="1:6" ht="28.5" customHeight="1">
      <c r="A56" s="30" t="s">
        <v>26</v>
      </c>
      <c r="B56" s="39" t="s">
        <v>189</v>
      </c>
      <c r="C56" s="79">
        <v>3500</v>
      </c>
      <c r="D56" s="83">
        <f>C56</f>
        <v>3500</v>
      </c>
      <c r="E56" s="100" t="str">
        <f t="shared" si="0"/>
        <v>-</v>
      </c>
      <c r="F56" s="104">
        <f t="shared" si="1"/>
        <v>1</v>
      </c>
    </row>
    <row r="57" spans="1:6" ht="28.5" customHeight="1">
      <c r="A57" s="30" t="s">
        <v>27</v>
      </c>
      <c r="B57" s="39" t="s">
        <v>28</v>
      </c>
      <c r="C57" s="79">
        <v>240</v>
      </c>
      <c r="D57" s="83">
        <f>C57</f>
        <v>240</v>
      </c>
      <c r="E57" s="100" t="str">
        <f t="shared" si="0"/>
        <v>-</v>
      </c>
      <c r="F57" s="101">
        <f t="shared" si="1"/>
        <v>1</v>
      </c>
    </row>
    <row r="58" spans="1:6" s="2" customFormat="1" ht="30" customHeight="1">
      <c r="A58" s="32" t="s">
        <v>29</v>
      </c>
      <c r="B58" s="44" t="s">
        <v>190</v>
      </c>
      <c r="C58" s="81">
        <f>C59+C60+C61+C62</f>
        <v>16266</v>
      </c>
      <c r="D58" s="26">
        <f>D59+D60+D61+D62</f>
        <v>16266</v>
      </c>
      <c r="E58" s="12" t="str">
        <f t="shared" si="0"/>
        <v>-</v>
      </c>
      <c r="F58" s="105">
        <f t="shared" si="1"/>
        <v>1</v>
      </c>
    </row>
    <row r="59" spans="1:6" ht="42" customHeight="1">
      <c r="A59" s="30" t="s">
        <v>104</v>
      </c>
      <c r="B59" s="39" t="s">
        <v>126</v>
      </c>
      <c r="C59" s="79">
        <v>22</v>
      </c>
      <c r="D59" s="83">
        <f t="shared" si="4"/>
        <v>22</v>
      </c>
      <c r="E59" s="75" t="str">
        <f t="shared" si="0"/>
        <v>-</v>
      </c>
      <c r="F59" s="101">
        <f t="shared" si="1"/>
        <v>1</v>
      </c>
    </row>
    <row r="60" spans="1:6" ht="31.5" customHeight="1">
      <c r="A60" s="30" t="s">
        <v>30</v>
      </c>
      <c r="B60" s="39" t="s">
        <v>57</v>
      </c>
      <c r="C60" s="79">
        <v>15974</v>
      </c>
      <c r="D60" s="83">
        <f t="shared" si="4"/>
        <v>15974</v>
      </c>
      <c r="E60" s="75" t="str">
        <f t="shared" si="0"/>
        <v>-</v>
      </c>
      <c r="F60" s="101">
        <f t="shared" si="1"/>
        <v>1</v>
      </c>
    </row>
    <row r="61" spans="1:6" ht="31.5" customHeight="1">
      <c r="A61" s="30" t="s">
        <v>31</v>
      </c>
      <c r="B61" s="39" t="s">
        <v>106</v>
      </c>
      <c r="C61" s="79">
        <v>0</v>
      </c>
      <c r="D61" s="83">
        <f t="shared" si="4"/>
        <v>0</v>
      </c>
      <c r="E61" s="75" t="str">
        <f t="shared" si="0"/>
        <v>-</v>
      </c>
      <c r="F61" s="101" t="str">
        <f t="shared" si="1"/>
        <v>-</v>
      </c>
    </row>
    <row r="62" spans="1:6" ht="31.5" customHeight="1">
      <c r="A62" s="30" t="s">
        <v>105</v>
      </c>
      <c r="B62" s="39" t="s">
        <v>107</v>
      </c>
      <c r="C62" s="79">
        <v>270</v>
      </c>
      <c r="D62" s="83">
        <f>C62</f>
        <v>270</v>
      </c>
      <c r="E62" s="75" t="str">
        <f t="shared" si="0"/>
        <v>-</v>
      </c>
      <c r="F62" s="101">
        <f t="shared" si="1"/>
        <v>1</v>
      </c>
    </row>
    <row r="63" spans="1:6" ht="32.25" customHeight="1">
      <c r="A63" s="32" t="s">
        <v>112</v>
      </c>
      <c r="B63" s="44" t="s">
        <v>133</v>
      </c>
      <c r="C63" s="81">
        <v>3778</v>
      </c>
      <c r="D63" s="26">
        <f>C63</f>
        <v>3778</v>
      </c>
      <c r="E63" s="12" t="str">
        <f t="shared" si="0"/>
        <v>-</v>
      </c>
      <c r="F63" s="105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63"/>
  <sheetViews>
    <sheetView showGridLines="0" view="pageBreakPreview" zoomScale="55" zoomScaleNormal="70" zoomScaleSheetLayoutView="55" zoomScalePageLayoutView="0" workbookViewId="0" topLeftCell="A1">
      <pane xSplit="2" ySplit="7" topLeftCell="C23" activePane="bottomRight" state="frozen"/>
      <selection pane="topLeft" activeCell="A2" sqref="A2:B2"/>
      <selection pane="topRight" activeCell="A2" sqref="A2:B2"/>
      <selection pane="bottomLeft" activeCell="A2" sqref="A2:B2"/>
      <selection pane="bottomRight" activeCell="J37" sqref="J37"/>
    </sheetView>
  </sheetViews>
  <sheetFormatPr defaultColWidth="9.00390625" defaultRowHeight="12.75"/>
  <cols>
    <col min="1" max="1" width="9.125" style="1" customWidth="1"/>
    <col min="2" max="2" width="125.875" style="1" customWidth="1"/>
    <col min="3" max="3" width="25.75390625" style="1" customWidth="1"/>
    <col min="4" max="4" width="26.875" style="1" customWidth="1"/>
    <col min="5" max="6" width="20.75390625" style="1" customWidth="1"/>
    <col min="7" max="7" width="9.125" style="1" customWidth="1"/>
    <col min="8" max="8" width="9.375" style="1" bestFit="1" customWidth="1"/>
    <col min="9" max="16384" width="9.125" style="1" customWidth="1"/>
  </cols>
  <sheetData>
    <row r="1" spans="1:6" s="47" customFormat="1" ht="54.75" customHeight="1">
      <c r="A1" s="119" t="str">
        <f>NFZ!A1</f>
        <v>URUCHOMIENIE REZERWY NA KOSZTY ŚWIADCZEŃ OPIEKI ZDROWOTNEJ W RAMACH MIGRACJI UBEZPIECZONYCH Z DNIA 30 SIERPNIA 2012 R. W PLANIE FINANSOWYM NARODOWEGO FUNDUSZU ZDROWIA NA 2013 ROK</v>
      </c>
      <c r="B1" s="119"/>
      <c r="C1" s="119"/>
      <c r="D1" s="119"/>
      <c r="E1" s="119"/>
      <c r="F1" s="119"/>
    </row>
    <row r="2" spans="1:3" s="49" customFormat="1" ht="33" customHeight="1">
      <c r="A2" s="87" t="s">
        <v>72</v>
      </c>
      <c r="B2" s="87"/>
      <c r="C2" s="96"/>
    </row>
    <row r="3" spans="1:6" ht="33" customHeight="1">
      <c r="A3" s="7"/>
      <c r="B3" s="8"/>
      <c r="C3" s="86"/>
      <c r="D3" s="86"/>
      <c r="E3" s="86" t="s">
        <v>166</v>
      </c>
      <c r="F3" s="9"/>
    </row>
    <row r="4" spans="1:6" s="5" customFormat="1" ht="45" customHeight="1">
      <c r="A4" s="114" t="s">
        <v>137</v>
      </c>
      <c r="B4" s="114" t="s">
        <v>56</v>
      </c>
      <c r="C4" s="115" t="s">
        <v>206</v>
      </c>
      <c r="D4" s="115" t="s">
        <v>203</v>
      </c>
      <c r="E4" s="118" t="s">
        <v>204</v>
      </c>
      <c r="F4" s="118" t="s">
        <v>205</v>
      </c>
    </row>
    <row r="5" spans="1:6" s="5" customFormat="1" ht="45" customHeight="1">
      <c r="A5" s="114"/>
      <c r="B5" s="114"/>
      <c r="C5" s="116"/>
      <c r="D5" s="116"/>
      <c r="E5" s="118"/>
      <c r="F5" s="118"/>
    </row>
    <row r="6" spans="1:6" s="3" customFormat="1" ht="14.25">
      <c r="A6" s="46">
        <v>1</v>
      </c>
      <c r="B6" s="51">
        <v>2</v>
      </c>
      <c r="C6" s="46">
        <v>3</v>
      </c>
      <c r="D6" s="51">
        <v>4</v>
      </c>
      <c r="E6" s="46">
        <v>5</v>
      </c>
      <c r="F6" s="51">
        <v>6</v>
      </c>
    </row>
    <row r="7" spans="1:6" s="2" customFormat="1" ht="30" customHeight="1">
      <c r="A7" s="22" t="s">
        <v>0</v>
      </c>
      <c r="B7" s="38" t="s">
        <v>174</v>
      </c>
      <c r="C7" s="97">
        <f>C8+C9+C10+C15+C16+C17+C18+C19+C20+C21+C22+C23+C24+C25+C29+C30+C32+C33</f>
        <v>1918181</v>
      </c>
      <c r="D7" s="15">
        <f>D8+D9+D10+D15+D16+D17+D18+D19+D20+D21+D22+D23+D24+D25+D29+D30+D32+D33</f>
        <v>1918181</v>
      </c>
      <c r="E7" s="12" t="str">
        <f>IF(C7=D7,"-",D7-C7)</f>
        <v>-</v>
      </c>
      <c r="F7" s="99">
        <f>IF(C7=0,"-",D7/C7)</f>
        <v>1</v>
      </c>
    </row>
    <row r="8" spans="1:8" ht="33" customHeight="1">
      <c r="A8" s="28" t="s">
        <v>1</v>
      </c>
      <c r="B8" s="76" t="s">
        <v>138</v>
      </c>
      <c r="C8" s="79">
        <v>233200</v>
      </c>
      <c r="D8" s="24">
        <f>C8</f>
        <v>233200</v>
      </c>
      <c r="E8" s="100" t="str">
        <f aca="true" t="shared" si="0" ref="E8:E63">IF(C8=D8,"-",D8-C8)</f>
        <v>-</v>
      </c>
      <c r="F8" s="101">
        <f aca="true" t="shared" si="1" ref="F8:F63">IF(C8=0,"-",D8/C8)</f>
        <v>1</v>
      </c>
      <c r="G8" s="1">
        <v>233200</v>
      </c>
      <c r="H8" s="85">
        <f>D8-G8</f>
        <v>0</v>
      </c>
    </row>
    <row r="9" spans="1:8" ht="33" customHeight="1">
      <c r="A9" s="28" t="s">
        <v>2</v>
      </c>
      <c r="B9" s="76" t="s">
        <v>139</v>
      </c>
      <c r="C9" s="79">
        <v>177063</v>
      </c>
      <c r="D9" s="24">
        <f>C9+6137</f>
        <v>183200</v>
      </c>
      <c r="E9" s="100">
        <f t="shared" si="0"/>
        <v>6137</v>
      </c>
      <c r="F9" s="101">
        <f t="shared" si="1"/>
        <v>1.0347</v>
      </c>
      <c r="G9" s="1">
        <v>183200</v>
      </c>
      <c r="H9" s="85">
        <f aca="true" t="shared" si="2" ref="H9:H33">D9-G9</f>
        <v>0</v>
      </c>
    </row>
    <row r="10" spans="1:8" ht="33" customHeight="1">
      <c r="A10" s="28" t="s">
        <v>3</v>
      </c>
      <c r="B10" s="76" t="s">
        <v>136</v>
      </c>
      <c r="C10" s="79">
        <v>838337</v>
      </c>
      <c r="D10" s="24">
        <f>C10+79499+517+4498+2733+1863</f>
        <v>927447</v>
      </c>
      <c r="E10" s="100">
        <f t="shared" si="0"/>
        <v>89110</v>
      </c>
      <c r="F10" s="101">
        <f t="shared" si="1"/>
        <v>1.1063</v>
      </c>
      <c r="G10" s="1">
        <v>927447</v>
      </c>
      <c r="H10" s="85">
        <f t="shared" si="2"/>
        <v>0</v>
      </c>
    </row>
    <row r="11" spans="1:8" ht="31.5" customHeight="1">
      <c r="A11" s="77" t="s">
        <v>58</v>
      </c>
      <c r="B11" s="88" t="s">
        <v>167</v>
      </c>
      <c r="C11" s="79">
        <v>54837</v>
      </c>
      <c r="D11" s="24">
        <f>C11+517+4498</f>
        <v>59852</v>
      </c>
      <c r="E11" s="100">
        <f t="shared" si="0"/>
        <v>5015</v>
      </c>
      <c r="F11" s="101">
        <f t="shared" si="1"/>
        <v>1.0915</v>
      </c>
      <c r="G11" s="1">
        <v>59852</v>
      </c>
      <c r="H11" s="85">
        <f t="shared" si="2"/>
        <v>0</v>
      </c>
    </row>
    <row r="12" spans="1:8" ht="31.5" customHeight="1">
      <c r="A12" s="77" t="s">
        <v>168</v>
      </c>
      <c r="B12" s="88" t="s">
        <v>171</v>
      </c>
      <c r="C12" s="79">
        <v>49876</v>
      </c>
      <c r="D12" s="24">
        <f>C12+4498</f>
        <v>54374</v>
      </c>
      <c r="E12" s="100">
        <f t="shared" si="0"/>
        <v>4498</v>
      </c>
      <c r="F12" s="101">
        <f t="shared" si="1"/>
        <v>1.0902</v>
      </c>
      <c r="G12" s="1">
        <v>54374</v>
      </c>
      <c r="H12" s="85">
        <f t="shared" si="2"/>
        <v>0</v>
      </c>
    </row>
    <row r="13" spans="1:8" ht="31.5" customHeight="1">
      <c r="A13" s="77" t="s">
        <v>169</v>
      </c>
      <c r="B13" s="88" t="s">
        <v>172</v>
      </c>
      <c r="C13" s="79">
        <v>49700</v>
      </c>
      <c r="D13" s="24">
        <f>C13+2733+1863</f>
        <v>54296</v>
      </c>
      <c r="E13" s="100">
        <f t="shared" si="0"/>
        <v>4596</v>
      </c>
      <c r="F13" s="101">
        <f t="shared" si="1"/>
        <v>1.0925</v>
      </c>
      <c r="G13" s="1">
        <v>54296</v>
      </c>
      <c r="H13" s="85">
        <f t="shared" si="2"/>
        <v>0</v>
      </c>
    </row>
    <row r="14" spans="1:8" ht="31.5" customHeight="1">
      <c r="A14" s="77" t="s">
        <v>170</v>
      </c>
      <c r="B14" s="88" t="s">
        <v>173</v>
      </c>
      <c r="C14" s="79">
        <v>30115</v>
      </c>
      <c r="D14" s="24">
        <f>C14+1863</f>
        <v>31978</v>
      </c>
      <c r="E14" s="100">
        <f t="shared" si="0"/>
        <v>1863</v>
      </c>
      <c r="F14" s="101">
        <f t="shared" si="1"/>
        <v>1.0619</v>
      </c>
      <c r="G14" s="1">
        <v>31978</v>
      </c>
      <c r="H14" s="85">
        <f t="shared" si="2"/>
        <v>0</v>
      </c>
    </row>
    <row r="15" spans="1:8" ht="33" customHeight="1">
      <c r="A15" s="28" t="s">
        <v>4</v>
      </c>
      <c r="B15" s="76" t="s">
        <v>144</v>
      </c>
      <c r="C15" s="79">
        <v>75800</v>
      </c>
      <c r="D15" s="24">
        <f>C15+6692</f>
        <v>82492</v>
      </c>
      <c r="E15" s="100">
        <f t="shared" si="0"/>
        <v>6692</v>
      </c>
      <c r="F15" s="101">
        <f t="shared" si="1"/>
        <v>1.0883</v>
      </c>
      <c r="G15" s="1">
        <v>82492</v>
      </c>
      <c r="H15" s="85">
        <f t="shared" si="2"/>
        <v>0</v>
      </c>
    </row>
    <row r="16" spans="1:8" ht="33" customHeight="1">
      <c r="A16" s="28" t="s">
        <v>5</v>
      </c>
      <c r="B16" s="76" t="s">
        <v>140</v>
      </c>
      <c r="C16" s="79">
        <v>46400</v>
      </c>
      <c r="D16" s="24">
        <f>C16+4630</f>
        <v>51030</v>
      </c>
      <c r="E16" s="100">
        <f t="shared" si="0"/>
        <v>4630</v>
      </c>
      <c r="F16" s="101">
        <f t="shared" si="1"/>
        <v>1.0998</v>
      </c>
      <c r="G16" s="1">
        <v>51030</v>
      </c>
      <c r="H16" s="85">
        <f t="shared" si="2"/>
        <v>0</v>
      </c>
    </row>
    <row r="17" spans="1:8" ht="33" customHeight="1">
      <c r="A17" s="28" t="s">
        <v>6</v>
      </c>
      <c r="B17" s="76" t="s">
        <v>146</v>
      </c>
      <c r="C17" s="79">
        <v>24600</v>
      </c>
      <c r="D17" s="24">
        <f>C17+1946</f>
        <v>26546</v>
      </c>
      <c r="E17" s="100">
        <f t="shared" si="0"/>
        <v>1946</v>
      </c>
      <c r="F17" s="101">
        <f t="shared" si="1"/>
        <v>1.0791</v>
      </c>
      <c r="G17" s="1">
        <v>26546</v>
      </c>
      <c r="H17" s="85">
        <f t="shared" si="2"/>
        <v>0</v>
      </c>
    </row>
    <row r="18" spans="1:8" ht="33" customHeight="1">
      <c r="A18" s="28" t="s">
        <v>7</v>
      </c>
      <c r="B18" s="76" t="s">
        <v>145</v>
      </c>
      <c r="C18" s="79">
        <v>10000</v>
      </c>
      <c r="D18" s="24">
        <f>C18+475</f>
        <v>10475</v>
      </c>
      <c r="E18" s="100">
        <f t="shared" si="0"/>
        <v>475</v>
      </c>
      <c r="F18" s="101">
        <f t="shared" si="1"/>
        <v>1.0475</v>
      </c>
      <c r="G18" s="1">
        <v>10475</v>
      </c>
      <c r="H18" s="85">
        <f t="shared" si="2"/>
        <v>0</v>
      </c>
    </row>
    <row r="19" spans="1:8" ht="33" customHeight="1">
      <c r="A19" s="28" t="s">
        <v>8</v>
      </c>
      <c r="B19" s="76" t="s">
        <v>141</v>
      </c>
      <c r="C19" s="79">
        <v>65000</v>
      </c>
      <c r="D19" s="24">
        <f>C19+1584</f>
        <v>66584</v>
      </c>
      <c r="E19" s="100">
        <f t="shared" si="0"/>
        <v>1584</v>
      </c>
      <c r="F19" s="101">
        <f t="shared" si="1"/>
        <v>1.0244</v>
      </c>
      <c r="G19" s="1">
        <v>66584</v>
      </c>
      <c r="H19" s="85">
        <f t="shared" si="2"/>
        <v>0</v>
      </c>
    </row>
    <row r="20" spans="1:8" ht="33" customHeight="1">
      <c r="A20" s="28" t="s">
        <v>9</v>
      </c>
      <c r="B20" s="76" t="s">
        <v>142</v>
      </c>
      <c r="C20" s="79">
        <v>18400</v>
      </c>
      <c r="D20" s="24">
        <f>C20</f>
        <v>18400</v>
      </c>
      <c r="E20" s="100" t="str">
        <f t="shared" si="0"/>
        <v>-</v>
      </c>
      <c r="F20" s="101">
        <f t="shared" si="1"/>
        <v>1</v>
      </c>
      <c r="G20" s="1">
        <v>18400</v>
      </c>
      <c r="H20" s="85">
        <f t="shared" si="2"/>
        <v>0</v>
      </c>
    </row>
    <row r="21" spans="1:8" ht="33" customHeight="1">
      <c r="A21" s="28" t="s">
        <v>10</v>
      </c>
      <c r="B21" s="76" t="s">
        <v>147</v>
      </c>
      <c r="C21" s="79">
        <v>1400</v>
      </c>
      <c r="D21" s="24">
        <f>C21</f>
        <v>1400</v>
      </c>
      <c r="E21" s="100" t="str">
        <f t="shared" si="0"/>
        <v>-</v>
      </c>
      <c r="F21" s="101">
        <f t="shared" si="1"/>
        <v>1</v>
      </c>
      <c r="G21" s="1">
        <v>1400</v>
      </c>
      <c r="H21" s="85">
        <f t="shared" si="2"/>
        <v>0</v>
      </c>
    </row>
    <row r="22" spans="1:8" ht="46.5" customHeight="1">
      <c r="A22" s="28" t="s">
        <v>11</v>
      </c>
      <c r="B22" s="76" t="s">
        <v>143</v>
      </c>
      <c r="C22" s="79">
        <v>5401</v>
      </c>
      <c r="D22" s="24">
        <f>C22+100</f>
        <v>5501</v>
      </c>
      <c r="E22" s="100">
        <f t="shared" si="0"/>
        <v>100</v>
      </c>
      <c r="F22" s="101">
        <f t="shared" si="1"/>
        <v>1.0185</v>
      </c>
      <c r="G22" s="1">
        <v>5501</v>
      </c>
      <c r="H22" s="85">
        <f t="shared" si="2"/>
        <v>0</v>
      </c>
    </row>
    <row r="23" spans="1:8" ht="33" customHeight="1">
      <c r="A23" s="28" t="s">
        <v>12</v>
      </c>
      <c r="B23" s="76" t="s">
        <v>197</v>
      </c>
      <c r="C23" s="79">
        <v>36000</v>
      </c>
      <c r="D23" s="24">
        <f>C23+6005</f>
        <v>42005</v>
      </c>
      <c r="E23" s="100">
        <f t="shared" si="0"/>
        <v>6005</v>
      </c>
      <c r="F23" s="101">
        <f t="shared" si="1"/>
        <v>1.1668</v>
      </c>
      <c r="G23" s="1">
        <v>42005</v>
      </c>
      <c r="H23" s="85">
        <f t="shared" si="2"/>
        <v>0</v>
      </c>
    </row>
    <row r="24" spans="1:8" ht="33" customHeight="1">
      <c r="A24" s="28" t="s">
        <v>13</v>
      </c>
      <c r="B24" s="76" t="s">
        <v>175</v>
      </c>
      <c r="C24" s="79">
        <v>26000</v>
      </c>
      <c r="D24" s="24">
        <f aca="true" t="shared" si="3" ref="D24:D31">C24</f>
        <v>26000</v>
      </c>
      <c r="E24" s="100" t="str">
        <f t="shared" si="0"/>
        <v>-</v>
      </c>
      <c r="F24" s="101">
        <f t="shared" si="1"/>
        <v>1</v>
      </c>
      <c r="G24" s="1">
        <v>26000</v>
      </c>
      <c r="H24" s="85">
        <f t="shared" si="2"/>
        <v>0</v>
      </c>
    </row>
    <row r="25" spans="1:8" ht="33" customHeight="1">
      <c r="A25" s="29" t="s">
        <v>14</v>
      </c>
      <c r="B25" s="76" t="s">
        <v>176</v>
      </c>
      <c r="C25" s="79">
        <v>233763</v>
      </c>
      <c r="D25" s="24">
        <f t="shared" si="3"/>
        <v>233763</v>
      </c>
      <c r="E25" s="100" t="str">
        <f t="shared" si="0"/>
        <v>-</v>
      </c>
      <c r="F25" s="101">
        <f t="shared" si="1"/>
        <v>1</v>
      </c>
      <c r="G25" s="1">
        <v>233763</v>
      </c>
      <c r="H25" s="85">
        <f t="shared" si="2"/>
        <v>0</v>
      </c>
    </row>
    <row r="26" spans="1:8" ht="31.5">
      <c r="A26" s="27" t="s">
        <v>148</v>
      </c>
      <c r="B26" s="88" t="s">
        <v>178</v>
      </c>
      <c r="C26" s="79">
        <v>231763</v>
      </c>
      <c r="D26" s="24">
        <f t="shared" si="3"/>
        <v>231763</v>
      </c>
      <c r="E26" s="100" t="str">
        <f t="shared" si="0"/>
        <v>-</v>
      </c>
      <c r="F26" s="101">
        <f t="shared" si="1"/>
        <v>1</v>
      </c>
      <c r="G26" s="1">
        <v>231763</v>
      </c>
      <c r="H26" s="85">
        <f t="shared" si="2"/>
        <v>0</v>
      </c>
    </row>
    <row r="27" spans="1:8" ht="31.5" customHeight="1">
      <c r="A27" s="77" t="s">
        <v>177</v>
      </c>
      <c r="B27" s="88" t="s">
        <v>180</v>
      </c>
      <c r="C27" s="79">
        <v>400</v>
      </c>
      <c r="D27" s="24">
        <f t="shared" si="3"/>
        <v>400</v>
      </c>
      <c r="E27" s="100" t="str">
        <f t="shared" si="0"/>
        <v>-</v>
      </c>
      <c r="F27" s="101">
        <f t="shared" si="1"/>
        <v>1</v>
      </c>
      <c r="G27" s="1">
        <v>400</v>
      </c>
      <c r="H27" s="85">
        <f t="shared" si="2"/>
        <v>0</v>
      </c>
    </row>
    <row r="28" spans="1:8" ht="31.5" customHeight="1">
      <c r="A28" s="77" t="s">
        <v>181</v>
      </c>
      <c r="B28" s="88" t="s">
        <v>179</v>
      </c>
      <c r="C28" s="79">
        <v>1600</v>
      </c>
      <c r="D28" s="24">
        <f t="shared" si="3"/>
        <v>1600</v>
      </c>
      <c r="E28" s="100" t="str">
        <f t="shared" si="0"/>
        <v>-</v>
      </c>
      <c r="F28" s="101">
        <f t="shared" si="1"/>
        <v>1</v>
      </c>
      <c r="G28" s="1">
        <v>1600</v>
      </c>
      <c r="H28" s="85">
        <f t="shared" si="2"/>
        <v>0</v>
      </c>
    </row>
    <row r="29" spans="1:8" ht="33" customHeight="1">
      <c r="A29" s="30" t="s">
        <v>15</v>
      </c>
      <c r="B29" s="35" t="s">
        <v>124</v>
      </c>
      <c r="C29" s="79">
        <v>0</v>
      </c>
      <c r="D29" s="24">
        <f t="shared" si="3"/>
        <v>0</v>
      </c>
      <c r="E29" s="100" t="str">
        <f t="shared" si="0"/>
        <v>-</v>
      </c>
      <c r="F29" s="101" t="str">
        <f t="shared" si="1"/>
        <v>-</v>
      </c>
      <c r="G29" s="1">
        <v>0</v>
      </c>
      <c r="H29" s="85">
        <f t="shared" si="2"/>
        <v>0</v>
      </c>
    </row>
    <row r="30" spans="1:8" ht="33" customHeight="1">
      <c r="A30" s="30" t="s">
        <v>121</v>
      </c>
      <c r="B30" s="39" t="s">
        <v>182</v>
      </c>
      <c r="C30" s="79">
        <v>0</v>
      </c>
      <c r="D30" s="24">
        <f t="shared" si="3"/>
        <v>0</v>
      </c>
      <c r="E30" s="100" t="str">
        <f t="shared" si="0"/>
        <v>-</v>
      </c>
      <c r="F30" s="101" t="str">
        <f t="shared" si="1"/>
        <v>-</v>
      </c>
      <c r="G30" s="1">
        <v>0</v>
      </c>
      <c r="H30" s="85">
        <f t="shared" si="2"/>
        <v>0</v>
      </c>
    </row>
    <row r="31" spans="1:8" ht="31.5" customHeight="1">
      <c r="A31" s="77" t="s">
        <v>183</v>
      </c>
      <c r="B31" s="88" t="s">
        <v>199</v>
      </c>
      <c r="C31" s="79">
        <v>0</v>
      </c>
      <c r="D31" s="24">
        <f t="shared" si="3"/>
        <v>0</v>
      </c>
      <c r="E31" s="100" t="str">
        <f t="shared" si="0"/>
        <v>-</v>
      </c>
      <c r="F31" s="101" t="str">
        <f t="shared" si="1"/>
        <v>-</v>
      </c>
      <c r="G31" s="1">
        <v>0</v>
      </c>
      <c r="H31" s="85">
        <f t="shared" si="2"/>
        <v>0</v>
      </c>
    </row>
    <row r="32" spans="1:8" ht="33" customHeight="1">
      <c r="A32" s="30" t="s">
        <v>122</v>
      </c>
      <c r="B32" s="36" t="s">
        <v>125</v>
      </c>
      <c r="C32" s="79">
        <v>121317</v>
      </c>
      <c r="D32" s="24">
        <f>C32-121317</f>
        <v>0</v>
      </c>
      <c r="E32" s="100">
        <f t="shared" si="0"/>
        <v>-121317</v>
      </c>
      <c r="F32" s="101">
        <f t="shared" si="1"/>
        <v>0</v>
      </c>
      <c r="G32" s="1">
        <v>0</v>
      </c>
      <c r="H32" s="85">
        <f t="shared" si="2"/>
        <v>0</v>
      </c>
    </row>
    <row r="33" spans="1:8" ht="33" customHeight="1">
      <c r="A33" s="30" t="s">
        <v>123</v>
      </c>
      <c r="B33" s="39" t="s">
        <v>198</v>
      </c>
      <c r="C33" s="79">
        <v>5500</v>
      </c>
      <c r="D33" s="24">
        <f>C33+4638</f>
        <v>10138</v>
      </c>
      <c r="E33" s="100">
        <f t="shared" si="0"/>
        <v>4638</v>
      </c>
      <c r="F33" s="101">
        <f t="shared" si="1"/>
        <v>1.8433</v>
      </c>
      <c r="G33" s="1">
        <v>10138</v>
      </c>
      <c r="H33" s="85">
        <f t="shared" si="2"/>
        <v>0</v>
      </c>
    </row>
    <row r="34" spans="1:6" s="4" customFormat="1" ht="31.5" customHeight="1">
      <c r="A34" s="31" t="s">
        <v>60</v>
      </c>
      <c r="B34" s="37" t="s">
        <v>61</v>
      </c>
      <c r="C34" s="82">
        <v>0</v>
      </c>
      <c r="D34" s="94">
        <f>C34</f>
        <v>0</v>
      </c>
      <c r="E34" s="14" t="str">
        <f t="shared" si="0"/>
        <v>-</v>
      </c>
      <c r="F34" s="102" t="str">
        <f t="shared" si="1"/>
        <v>-</v>
      </c>
    </row>
    <row r="35" spans="1:6" s="4" customFormat="1" ht="31.5" customHeight="1">
      <c r="A35" s="31" t="s">
        <v>59</v>
      </c>
      <c r="B35" s="37" t="s">
        <v>62</v>
      </c>
      <c r="C35" s="82">
        <v>69081</v>
      </c>
      <c r="D35" s="95">
        <f>C35</f>
        <v>69081</v>
      </c>
      <c r="E35" s="14" t="str">
        <f t="shared" si="0"/>
        <v>-</v>
      </c>
      <c r="F35" s="102">
        <f t="shared" si="1"/>
        <v>1</v>
      </c>
    </row>
    <row r="36" spans="1:6" s="4" customFormat="1" ht="42.75" customHeight="1">
      <c r="A36" s="31" t="s">
        <v>184</v>
      </c>
      <c r="B36" s="37" t="s">
        <v>185</v>
      </c>
      <c r="C36" s="82">
        <f>C12+C14+C25+C31</f>
        <v>313754</v>
      </c>
      <c r="D36" s="82">
        <f>D12+D14+D25+D31</f>
        <v>320115</v>
      </c>
      <c r="E36" s="14">
        <f t="shared" si="0"/>
        <v>6361</v>
      </c>
      <c r="F36" s="102">
        <f t="shared" si="1"/>
        <v>1.0203</v>
      </c>
    </row>
    <row r="37" spans="1:6" s="2" customFormat="1" ht="30" customHeight="1">
      <c r="A37" s="25" t="s">
        <v>16</v>
      </c>
      <c r="B37" s="44" t="s">
        <v>195</v>
      </c>
      <c r="C37" s="23">
        <f>C38+C39+C40+C48+C50+C56+C57+C55</f>
        <v>14308</v>
      </c>
      <c r="D37" s="23">
        <f>D38+D39+D40+D48+D50+D56+D57+D55</f>
        <v>14308</v>
      </c>
      <c r="E37" s="12" t="str">
        <f t="shared" si="0"/>
        <v>-</v>
      </c>
      <c r="F37" s="103">
        <f t="shared" si="1"/>
        <v>1</v>
      </c>
    </row>
    <row r="38" spans="1:6" ht="28.5" customHeight="1">
      <c r="A38" s="30" t="s">
        <v>17</v>
      </c>
      <c r="B38" s="39" t="s">
        <v>18</v>
      </c>
      <c r="C38" s="79">
        <v>625</v>
      </c>
      <c r="D38" s="83">
        <f>C38</f>
        <v>625</v>
      </c>
      <c r="E38" s="100" t="str">
        <f t="shared" si="0"/>
        <v>-</v>
      </c>
      <c r="F38" s="101">
        <f t="shared" si="1"/>
        <v>1</v>
      </c>
    </row>
    <row r="39" spans="1:6" ht="28.5" customHeight="1">
      <c r="A39" s="30" t="s">
        <v>19</v>
      </c>
      <c r="B39" s="39" t="s">
        <v>20</v>
      </c>
      <c r="C39" s="79">
        <v>1022</v>
      </c>
      <c r="D39" s="83">
        <f>C39</f>
        <v>1022</v>
      </c>
      <c r="E39" s="100" t="str">
        <f t="shared" si="0"/>
        <v>-</v>
      </c>
      <c r="F39" s="101">
        <f t="shared" si="1"/>
        <v>1</v>
      </c>
    </row>
    <row r="40" spans="1:6" ht="28.5" customHeight="1">
      <c r="A40" s="30" t="s">
        <v>21</v>
      </c>
      <c r="B40" s="40" t="s">
        <v>32</v>
      </c>
      <c r="C40" s="93">
        <f>C41+C43+C44+C45+C46+C47</f>
        <v>207</v>
      </c>
      <c r="D40" s="83">
        <f>D41+D43+D44+D45+D46+D47</f>
        <v>207</v>
      </c>
      <c r="E40" s="100" t="str">
        <f t="shared" si="0"/>
        <v>-</v>
      </c>
      <c r="F40" s="101">
        <f t="shared" si="1"/>
        <v>1</v>
      </c>
    </row>
    <row r="41" spans="1:6" ht="28.5" customHeight="1">
      <c r="A41" s="41" t="s">
        <v>40</v>
      </c>
      <c r="B41" s="42" t="s">
        <v>33</v>
      </c>
      <c r="C41" s="79">
        <v>17</v>
      </c>
      <c r="D41" s="83">
        <f>C41</f>
        <v>17</v>
      </c>
      <c r="E41" s="100" t="str">
        <f t="shared" si="0"/>
        <v>-</v>
      </c>
      <c r="F41" s="101">
        <f t="shared" si="1"/>
        <v>1</v>
      </c>
    </row>
    <row r="42" spans="1:6" ht="28.5" customHeight="1">
      <c r="A42" s="41" t="s">
        <v>41</v>
      </c>
      <c r="B42" s="43" t="s">
        <v>34</v>
      </c>
      <c r="C42" s="79">
        <v>17</v>
      </c>
      <c r="D42" s="83">
        <f aca="true" t="shared" si="4" ref="D42:D61">C42</f>
        <v>17</v>
      </c>
      <c r="E42" s="100" t="str">
        <f t="shared" si="0"/>
        <v>-</v>
      </c>
      <c r="F42" s="101">
        <f t="shared" si="1"/>
        <v>1</v>
      </c>
    </row>
    <row r="43" spans="1:6" ht="28.5" customHeight="1">
      <c r="A43" s="41" t="s">
        <v>42</v>
      </c>
      <c r="B43" s="42" t="s">
        <v>35</v>
      </c>
      <c r="C43" s="79">
        <v>35</v>
      </c>
      <c r="D43" s="83">
        <f t="shared" si="4"/>
        <v>35</v>
      </c>
      <c r="E43" s="100" t="str">
        <f t="shared" si="0"/>
        <v>-</v>
      </c>
      <c r="F43" s="101">
        <f t="shared" si="1"/>
        <v>1</v>
      </c>
    </row>
    <row r="44" spans="1:6" ht="28.5" customHeight="1">
      <c r="A44" s="41" t="s">
        <v>43</v>
      </c>
      <c r="B44" s="42" t="s">
        <v>36</v>
      </c>
      <c r="C44" s="79">
        <v>0</v>
      </c>
      <c r="D44" s="83">
        <f t="shared" si="4"/>
        <v>0</v>
      </c>
      <c r="E44" s="100" t="str">
        <f t="shared" si="0"/>
        <v>-</v>
      </c>
      <c r="F44" s="101" t="str">
        <f t="shared" si="1"/>
        <v>-</v>
      </c>
    </row>
    <row r="45" spans="1:6" ht="28.5" customHeight="1">
      <c r="A45" s="41" t="s">
        <v>44</v>
      </c>
      <c r="B45" s="42" t="s">
        <v>37</v>
      </c>
      <c r="C45" s="79">
        <v>0</v>
      </c>
      <c r="D45" s="83">
        <f t="shared" si="4"/>
        <v>0</v>
      </c>
      <c r="E45" s="100" t="str">
        <f t="shared" si="0"/>
        <v>-</v>
      </c>
      <c r="F45" s="101" t="str">
        <f t="shared" si="1"/>
        <v>-</v>
      </c>
    </row>
    <row r="46" spans="1:6" ht="28.5" customHeight="1">
      <c r="A46" s="41" t="s">
        <v>45</v>
      </c>
      <c r="B46" s="42" t="s">
        <v>38</v>
      </c>
      <c r="C46" s="79">
        <v>150</v>
      </c>
      <c r="D46" s="83">
        <f t="shared" si="4"/>
        <v>150</v>
      </c>
      <c r="E46" s="100" t="str">
        <f t="shared" si="0"/>
        <v>-</v>
      </c>
      <c r="F46" s="101">
        <f t="shared" si="1"/>
        <v>1</v>
      </c>
    </row>
    <row r="47" spans="1:6" ht="28.5" customHeight="1">
      <c r="A47" s="41" t="s">
        <v>46</v>
      </c>
      <c r="B47" s="42" t="s">
        <v>39</v>
      </c>
      <c r="C47" s="79">
        <v>5</v>
      </c>
      <c r="D47" s="83">
        <f>C47</f>
        <v>5</v>
      </c>
      <c r="E47" s="100" t="str">
        <f t="shared" si="0"/>
        <v>-</v>
      </c>
      <c r="F47" s="101">
        <f t="shared" si="1"/>
        <v>1</v>
      </c>
    </row>
    <row r="48" spans="1:6" ht="28.5" customHeight="1">
      <c r="A48" s="30" t="s">
        <v>22</v>
      </c>
      <c r="B48" s="39" t="s">
        <v>186</v>
      </c>
      <c r="C48" s="79">
        <v>9216</v>
      </c>
      <c r="D48" s="83">
        <f>C48</f>
        <v>9216</v>
      </c>
      <c r="E48" s="100" t="str">
        <f t="shared" si="0"/>
        <v>-</v>
      </c>
      <c r="F48" s="101">
        <f t="shared" si="1"/>
        <v>1</v>
      </c>
    </row>
    <row r="49" spans="1:6" ht="28.5" customHeight="1">
      <c r="A49" s="41" t="s">
        <v>187</v>
      </c>
      <c r="B49" s="42" t="s">
        <v>188</v>
      </c>
      <c r="C49" s="79">
        <v>0</v>
      </c>
      <c r="D49" s="83">
        <f>C49</f>
        <v>0</v>
      </c>
      <c r="E49" s="100" t="str">
        <f t="shared" si="0"/>
        <v>-</v>
      </c>
      <c r="F49" s="101" t="str">
        <f t="shared" si="1"/>
        <v>-</v>
      </c>
    </row>
    <row r="50" spans="1:6" ht="28.5" customHeight="1">
      <c r="A50" s="30" t="s">
        <v>23</v>
      </c>
      <c r="B50" s="40" t="s">
        <v>55</v>
      </c>
      <c r="C50" s="93">
        <f>C51+C52+C53+C54</f>
        <v>2050</v>
      </c>
      <c r="D50" s="83">
        <f>D51+D52+D53+D54</f>
        <v>2050</v>
      </c>
      <c r="E50" s="100" t="str">
        <f t="shared" si="0"/>
        <v>-</v>
      </c>
      <c r="F50" s="101">
        <f t="shared" si="1"/>
        <v>1</v>
      </c>
    </row>
    <row r="51" spans="1:6" ht="28.5" customHeight="1">
      <c r="A51" s="41" t="s">
        <v>51</v>
      </c>
      <c r="B51" s="42" t="s">
        <v>47</v>
      </c>
      <c r="C51" s="83">
        <v>1584</v>
      </c>
      <c r="D51" s="83">
        <f t="shared" si="4"/>
        <v>1584</v>
      </c>
      <c r="E51" s="100" t="str">
        <f t="shared" si="0"/>
        <v>-</v>
      </c>
      <c r="F51" s="101">
        <f t="shared" si="1"/>
        <v>1</v>
      </c>
    </row>
    <row r="52" spans="1:6" ht="28.5" customHeight="1">
      <c r="A52" s="41" t="s">
        <v>52</v>
      </c>
      <c r="B52" s="42" t="s">
        <v>48</v>
      </c>
      <c r="C52" s="83">
        <v>226</v>
      </c>
      <c r="D52" s="83">
        <f t="shared" si="4"/>
        <v>226</v>
      </c>
      <c r="E52" s="100" t="str">
        <f t="shared" si="0"/>
        <v>-</v>
      </c>
      <c r="F52" s="101">
        <f t="shared" si="1"/>
        <v>1</v>
      </c>
    </row>
    <row r="53" spans="1:6" ht="28.5" customHeight="1">
      <c r="A53" s="41" t="s">
        <v>53</v>
      </c>
      <c r="B53" s="42" t="s">
        <v>49</v>
      </c>
      <c r="C53" s="83">
        <v>0</v>
      </c>
      <c r="D53" s="83">
        <f t="shared" si="4"/>
        <v>0</v>
      </c>
      <c r="E53" s="100" t="str">
        <f t="shared" si="0"/>
        <v>-</v>
      </c>
      <c r="F53" s="101" t="str">
        <f t="shared" si="1"/>
        <v>-</v>
      </c>
    </row>
    <row r="54" spans="1:6" ht="28.5" customHeight="1">
      <c r="A54" s="41" t="s">
        <v>54</v>
      </c>
      <c r="B54" s="42" t="s">
        <v>50</v>
      </c>
      <c r="C54" s="83">
        <v>240</v>
      </c>
      <c r="D54" s="83">
        <f t="shared" si="4"/>
        <v>240</v>
      </c>
      <c r="E54" s="100" t="str">
        <f t="shared" si="0"/>
        <v>-</v>
      </c>
      <c r="F54" s="101">
        <f t="shared" si="1"/>
        <v>1</v>
      </c>
    </row>
    <row r="55" spans="1:6" ht="28.5" customHeight="1">
      <c r="A55" s="30" t="s">
        <v>24</v>
      </c>
      <c r="B55" s="39" t="s">
        <v>25</v>
      </c>
      <c r="C55" s="79">
        <v>0</v>
      </c>
      <c r="D55" s="83">
        <f>C55</f>
        <v>0</v>
      </c>
      <c r="E55" s="100" t="str">
        <f t="shared" si="0"/>
        <v>-</v>
      </c>
      <c r="F55" s="101" t="str">
        <f t="shared" si="1"/>
        <v>-</v>
      </c>
    </row>
    <row r="56" spans="1:6" ht="28.5" customHeight="1">
      <c r="A56" s="30" t="s">
        <v>26</v>
      </c>
      <c r="B56" s="39" t="s">
        <v>189</v>
      </c>
      <c r="C56" s="79">
        <v>940</v>
      </c>
      <c r="D56" s="83">
        <f>C56</f>
        <v>940</v>
      </c>
      <c r="E56" s="100" t="str">
        <f t="shared" si="0"/>
        <v>-</v>
      </c>
      <c r="F56" s="104">
        <f t="shared" si="1"/>
        <v>1</v>
      </c>
    </row>
    <row r="57" spans="1:6" ht="28.5" customHeight="1">
      <c r="A57" s="30" t="s">
        <v>27</v>
      </c>
      <c r="B57" s="39" t="s">
        <v>28</v>
      </c>
      <c r="C57" s="79">
        <v>248</v>
      </c>
      <c r="D57" s="83">
        <f>C57</f>
        <v>248</v>
      </c>
      <c r="E57" s="100" t="str">
        <f t="shared" si="0"/>
        <v>-</v>
      </c>
      <c r="F57" s="101">
        <f t="shared" si="1"/>
        <v>1</v>
      </c>
    </row>
    <row r="58" spans="1:6" s="2" customFormat="1" ht="30" customHeight="1">
      <c r="A58" s="32" t="s">
        <v>29</v>
      </c>
      <c r="B58" s="44" t="s">
        <v>190</v>
      </c>
      <c r="C58" s="81">
        <f>C59+C60+C61+C62</f>
        <v>3986</v>
      </c>
      <c r="D58" s="26">
        <f>D59+D60+D61+D62</f>
        <v>3986</v>
      </c>
      <c r="E58" s="12" t="str">
        <f t="shared" si="0"/>
        <v>-</v>
      </c>
      <c r="F58" s="105">
        <f t="shared" si="1"/>
        <v>1</v>
      </c>
    </row>
    <row r="59" spans="1:6" ht="42" customHeight="1">
      <c r="A59" s="30" t="s">
        <v>104</v>
      </c>
      <c r="B59" s="39" t="s">
        <v>126</v>
      </c>
      <c r="C59" s="79">
        <v>3</v>
      </c>
      <c r="D59" s="83">
        <f t="shared" si="4"/>
        <v>3</v>
      </c>
      <c r="E59" s="75" t="str">
        <f t="shared" si="0"/>
        <v>-</v>
      </c>
      <c r="F59" s="101">
        <f t="shared" si="1"/>
        <v>1</v>
      </c>
    </row>
    <row r="60" spans="1:6" ht="31.5" customHeight="1">
      <c r="A60" s="30" t="s">
        <v>30</v>
      </c>
      <c r="B60" s="39" t="s">
        <v>57</v>
      </c>
      <c r="C60" s="79">
        <v>3740</v>
      </c>
      <c r="D60" s="83">
        <f t="shared" si="4"/>
        <v>3740</v>
      </c>
      <c r="E60" s="75" t="str">
        <f t="shared" si="0"/>
        <v>-</v>
      </c>
      <c r="F60" s="101">
        <f t="shared" si="1"/>
        <v>1</v>
      </c>
    </row>
    <row r="61" spans="1:6" ht="31.5" customHeight="1">
      <c r="A61" s="30" t="s">
        <v>31</v>
      </c>
      <c r="B61" s="39" t="s">
        <v>106</v>
      </c>
      <c r="C61" s="79">
        <v>0</v>
      </c>
      <c r="D61" s="83">
        <f t="shared" si="4"/>
        <v>0</v>
      </c>
      <c r="E61" s="75" t="str">
        <f t="shared" si="0"/>
        <v>-</v>
      </c>
      <c r="F61" s="101" t="str">
        <f t="shared" si="1"/>
        <v>-</v>
      </c>
    </row>
    <row r="62" spans="1:6" ht="31.5" customHeight="1">
      <c r="A62" s="30" t="s">
        <v>105</v>
      </c>
      <c r="B62" s="39" t="s">
        <v>107</v>
      </c>
      <c r="C62" s="79">
        <v>243</v>
      </c>
      <c r="D62" s="83">
        <f>C62</f>
        <v>243</v>
      </c>
      <c r="E62" s="75" t="str">
        <f t="shared" si="0"/>
        <v>-</v>
      </c>
      <c r="F62" s="101">
        <f t="shared" si="1"/>
        <v>1</v>
      </c>
    </row>
    <row r="63" spans="1:6" ht="32.25" customHeight="1">
      <c r="A63" s="32" t="s">
        <v>112</v>
      </c>
      <c r="B63" s="44" t="s">
        <v>133</v>
      </c>
      <c r="C63" s="81">
        <v>443</v>
      </c>
      <c r="D63" s="26">
        <f>C63</f>
        <v>443</v>
      </c>
      <c r="E63" s="12" t="str">
        <f t="shared" si="0"/>
        <v>-</v>
      </c>
      <c r="F63" s="105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63"/>
  <sheetViews>
    <sheetView showGridLines="0" view="pageBreakPreview" zoomScale="55" zoomScaleNormal="70" zoomScaleSheetLayoutView="55" zoomScalePageLayoutView="0" workbookViewId="0" topLeftCell="A1">
      <pane xSplit="2" ySplit="7" topLeftCell="C20" activePane="bottomRight" state="frozen"/>
      <selection pane="topLeft" activeCell="A2" sqref="A2:B2"/>
      <selection pane="topRight" activeCell="A2" sqref="A2:B2"/>
      <selection pane="bottomLeft" activeCell="A2" sqref="A2:B2"/>
      <selection pane="bottomRight" activeCell="A2" sqref="A2:B2"/>
    </sheetView>
  </sheetViews>
  <sheetFormatPr defaultColWidth="9.00390625" defaultRowHeight="12.75"/>
  <cols>
    <col min="1" max="1" width="9.125" style="1" customWidth="1"/>
    <col min="2" max="2" width="125.875" style="1" customWidth="1"/>
    <col min="3" max="3" width="25.75390625" style="1" customWidth="1"/>
    <col min="4" max="4" width="26.875" style="1" customWidth="1"/>
    <col min="5" max="6" width="20.75390625" style="1" customWidth="1"/>
    <col min="7" max="7" width="9.125" style="1" customWidth="1"/>
    <col min="8" max="8" width="9.375" style="1" bestFit="1" customWidth="1"/>
    <col min="9" max="16384" width="9.125" style="1" customWidth="1"/>
  </cols>
  <sheetData>
    <row r="1" spans="1:6" s="47" customFormat="1" ht="54.75" customHeight="1">
      <c r="A1" s="119" t="str">
        <f>NFZ!A1</f>
        <v>URUCHOMIENIE REZERWY NA KOSZTY ŚWIADCZEŃ OPIEKI ZDROWOTNEJ W RAMACH MIGRACJI UBEZPIECZONYCH Z DNIA 30 SIERPNIA 2012 R. W PLANIE FINANSOWYM NARODOWEGO FUNDUSZU ZDROWIA NA 2013 ROK</v>
      </c>
      <c r="B1" s="119"/>
      <c r="C1" s="119"/>
      <c r="D1" s="119"/>
      <c r="E1" s="119"/>
      <c r="F1" s="119"/>
    </row>
    <row r="2" spans="1:3" s="49" customFormat="1" ht="33" customHeight="1">
      <c r="A2" s="87" t="s">
        <v>73</v>
      </c>
      <c r="B2" s="87"/>
      <c r="C2" s="96"/>
    </row>
    <row r="3" spans="1:6" ht="33" customHeight="1">
      <c r="A3" s="7"/>
      <c r="B3" s="8"/>
      <c r="C3" s="86"/>
      <c r="D3" s="86"/>
      <c r="E3" s="86" t="s">
        <v>166</v>
      </c>
      <c r="F3" s="9"/>
    </row>
    <row r="4" spans="1:6" s="5" customFormat="1" ht="45" customHeight="1">
      <c r="A4" s="114" t="s">
        <v>137</v>
      </c>
      <c r="B4" s="114" t="s">
        <v>56</v>
      </c>
      <c r="C4" s="115" t="s">
        <v>206</v>
      </c>
      <c r="D4" s="115" t="s">
        <v>203</v>
      </c>
      <c r="E4" s="118" t="s">
        <v>204</v>
      </c>
      <c r="F4" s="118" t="s">
        <v>205</v>
      </c>
    </row>
    <row r="5" spans="1:6" s="5" customFormat="1" ht="45" customHeight="1">
      <c r="A5" s="114"/>
      <c r="B5" s="114"/>
      <c r="C5" s="116"/>
      <c r="D5" s="116"/>
      <c r="E5" s="118"/>
      <c r="F5" s="118"/>
    </row>
    <row r="6" spans="1:6" s="3" customFormat="1" ht="14.25">
      <c r="A6" s="46">
        <v>1</v>
      </c>
      <c r="B6" s="51">
        <v>2</v>
      </c>
      <c r="C6" s="46">
        <v>3</v>
      </c>
      <c r="D6" s="51">
        <v>4</v>
      </c>
      <c r="E6" s="46">
        <v>5</v>
      </c>
      <c r="F6" s="51">
        <v>6</v>
      </c>
    </row>
    <row r="7" spans="1:6" s="2" customFormat="1" ht="30" customHeight="1">
      <c r="A7" s="22" t="s">
        <v>0</v>
      </c>
      <c r="B7" s="38" t="s">
        <v>174</v>
      </c>
      <c r="C7" s="97">
        <f>C8+C9+C10+C15+C16+C17+C18+C19+C20+C21+C22+C23+C24+C25+C29+C30+C32+C33</f>
        <v>3623614</v>
      </c>
      <c r="D7" s="15">
        <f>D8+D9+D10+D15+D16+D17+D18+D19+D20+D21+D22+D23+D24+D25+D29+D30+D32+D33</f>
        <v>3623614</v>
      </c>
      <c r="E7" s="12" t="str">
        <f>IF(C7=D7,"-",D7-C7)</f>
        <v>-</v>
      </c>
      <c r="F7" s="99">
        <f>IF(C7=0,"-",D7/C7)</f>
        <v>1</v>
      </c>
    </row>
    <row r="8" spans="1:8" ht="33" customHeight="1">
      <c r="A8" s="28" t="s">
        <v>1</v>
      </c>
      <c r="B8" s="76" t="s">
        <v>138</v>
      </c>
      <c r="C8" s="79">
        <v>441786</v>
      </c>
      <c r="D8" s="24">
        <f>C8</f>
        <v>441786</v>
      </c>
      <c r="E8" s="100" t="str">
        <f aca="true" t="shared" si="0" ref="E8:E63">IF(C8=D8,"-",D8-C8)</f>
        <v>-</v>
      </c>
      <c r="F8" s="101">
        <f aca="true" t="shared" si="1" ref="F8:F63">IF(C8=0,"-",D8/C8)</f>
        <v>1</v>
      </c>
      <c r="G8" s="1">
        <v>441786</v>
      </c>
      <c r="H8" s="85">
        <f>D8-G8</f>
        <v>0</v>
      </c>
    </row>
    <row r="9" spans="1:8" ht="33" customHeight="1">
      <c r="A9" s="28" t="s">
        <v>2</v>
      </c>
      <c r="B9" s="76" t="s">
        <v>139</v>
      </c>
      <c r="C9" s="79">
        <v>316000</v>
      </c>
      <c r="D9" s="24">
        <f>C9+9692</f>
        <v>325692</v>
      </c>
      <c r="E9" s="100">
        <f t="shared" si="0"/>
        <v>9692</v>
      </c>
      <c r="F9" s="101">
        <f t="shared" si="1"/>
        <v>1.0307</v>
      </c>
      <c r="G9" s="1">
        <v>325692</v>
      </c>
      <c r="H9" s="85">
        <f aca="true" t="shared" si="2" ref="H9:H36">D9-G9</f>
        <v>0</v>
      </c>
    </row>
    <row r="10" spans="1:8" ht="33" customHeight="1">
      <c r="A10" s="28" t="s">
        <v>3</v>
      </c>
      <c r="B10" s="76" t="s">
        <v>136</v>
      </c>
      <c r="C10" s="79">
        <v>1550811</v>
      </c>
      <c r="D10" s="24">
        <f>C10+134228+1008+11196+3672+3235</f>
        <v>1704150</v>
      </c>
      <c r="E10" s="100">
        <f t="shared" si="0"/>
        <v>153339</v>
      </c>
      <c r="F10" s="101">
        <f t="shared" si="1"/>
        <v>1.0989</v>
      </c>
      <c r="G10" s="1">
        <v>1704150</v>
      </c>
      <c r="H10" s="85">
        <f t="shared" si="2"/>
        <v>0</v>
      </c>
    </row>
    <row r="11" spans="1:8" ht="31.5" customHeight="1">
      <c r="A11" s="77" t="s">
        <v>58</v>
      </c>
      <c r="B11" s="88" t="s">
        <v>167</v>
      </c>
      <c r="C11" s="79">
        <v>90000</v>
      </c>
      <c r="D11" s="24">
        <f>C11+1008+11196</f>
        <v>102204</v>
      </c>
      <c r="E11" s="100">
        <f t="shared" si="0"/>
        <v>12204</v>
      </c>
      <c r="F11" s="101">
        <f t="shared" si="1"/>
        <v>1.1356</v>
      </c>
      <c r="G11" s="1">
        <v>102204</v>
      </c>
      <c r="H11" s="85">
        <f t="shared" si="2"/>
        <v>0</v>
      </c>
    </row>
    <row r="12" spans="1:8" ht="31.5" customHeight="1">
      <c r="A12" s="77" t="s">
        <v>168</v>
      </c>
      <c r="B12" s="88" t="s">
        <v>171</v>
      </c>
      <c r="C12" s="79">
        <v>80000</v>
      </c>
      <c r="D12" s="24">
        <f>C12+11196</f>
        <v>91196</v>
      </c>
      <c r="E12" s="100">
        <f t="shared" si="0"/>
        <v>11196</v>
      </c>
      <c r="F12" s="101">
        <f t="shared" si="1"/>
        <v>1.14</v>
      </c>
      <c r="G12" s="1">
        <v>91196</v>
      </c>
      <c r="H12" s="85">
        <f t="shared" si="2"/>
        <v>0</v>
      </c>
    </row>
    <row r="13" spans="1:8" ht="31.5" customHeight="1">
      <c r="A13" s="77" t="s">
        <v>169</v>
      </c>
      <c r="B13" s="88" t="s">
        <v>172</v>
      </c>
      <c r="C13" s="79">
        <v>86000</v>
      </c>
      <c r="D13" s="24">
        <f>C13+3672+3235</f>
        <v>92907</v>
      </c>
      <c r="E13" s="100">
        <f t="shared" si="0"/>
        <v>6907</v>
      </c>
      <c r="F13" s="101">
        <f t="shared" si="1"/>
        <v>1.0803</v>
      </c>
      <c r="G13" s="1">
        <v>92907</v>
      </c>
      <c r="H13" s="85">
        <f t="shared" si="2"/>
        <v>0</v>
      </c>
    </row>
    <row r="14" spans="1:8" ht="31.5" customHeight="1">
      <c r="A14" s="77" t="s">
        <v>170</v>
      </c>
      <c r="B14" s="88" t="s">
        <v>173</v>
      </c>
      <c r="C14" s="79">
        <v>46000</v>
      </c>
      <c r="D14" s="24">
        <f>C14+3235</f>
        <v>49235</v>
      </c>
      <c r="E14" s="100">
        <f t="shared" si="0"/>
        <v>3235</v>
      </c>
      <c r="F14" s="101">
        <f t="shared" si="1"/>
        <v>1.0703</v>
      </c>
      <c r="G14" s="1">
        <v>49235</v>
      </c>
      <c r="H14" s="85">
        <f t="shared" si="2"/>
        <v>0</v>
      </c>
    </row>
    <row r="15" spans="1:8" ht="33" customHeight="1">
      <c r="A15" s="28" t="s">
        <v>4</v>
      </c>
      <c r="B15" s="76" t="s">
        <v>144</v>
      </c>
      <c r="C15" s="79">
        <v>124600</v>
      </c>
      <c r="D15" s="24">
        <f>C15+13483</f>
        <v>138083</v>
      </c>
      <c r="E15" s="100">
        <f t="shared" si="0"/>
        <v>13483</v>
      </c>
      <c r="F15" s="101">
        <f t="shared" si="1"/>
        <v>1.1082</v>
      </c>
      <c r="G15" s="1">
        <v>138083</v>
      </c>
      <c r="H15" s="85">
        <f t="shared" si="2"/>
        <v>0</v>
      </c>
    </row>
    <row r="16" spans="1:8" ht="33" customHeight="1">
      <c r="A16" s="28" t="s">
        <v>5</v>
      </c>
      <c r="B16" s="76" t="s">
        <v>140</v>
      </c>
      <c r="C16" s="79">
        <v>99800</v>
      </c>
      <c r="D16" s="24">
        <f>C16+7301</f>
        <v>107101</v>
      </c>
      <c r="E16" s="100">
        <f t="shared" si="0"/>
        <v>7301</v>
      </c>
      <c r="F16" s="101">
        <f t="shared" si="1"/>
        <v>1.0732</v>
      </c>
      <c r="G16" s="1">
        <v>107101</v>
      </c>
      <c r="H16" s="85">
        <f t="shared" si="2"/>
        <v>0</v>
      </c>
    </row>
    <row r="17" spans="1:8" ht="33" customHeight="1">
      <c r="A17" s="28" t="s">
        <v>6</v>
      </c>
      <c r="B17" s="76" t="s">
        <v>146</v>
      </c>
      <c r="C17" s="79">
        <v>40200</v>
      </c>
      <c r="D17" s="24">
        <f>C17+1809</f>
        <v>42009</v>
      </c>
      <c r="E17" s="100">
        <f t="shared" si="0"/>
        <v>1809</v>
      </c>
      <c r="F17" s="101">
        <f t="shared" si="1"/>
        <v>1.045</v>
      </c>
      <c r="G17" s="1">
        <v>42009</v>
      </c>
      <c r="H17" s="85">
        <f t="shared" si="2"/>
        <v>0</v>
      </c>
    </row>
    <row r="18" spans="1:8" ht="33" customHeight="1">
      <c r="A18" s="28" t="s">
        <v>7</v>
      </c>
      <c r="B18" s="76" t="s">
        <v>145</v>
      </c>
      <c r="C18" s="79">
        <v>18800</v>
      </c>
      <c r="D18" s="24">
        <f>C18+887</f>
        <v>19687</v>
      </c>
      <c r="E18" s="100">
        <f t="shared" si="0"/>
        <v>887</v>
      </c>
      <c r="F18" s="101">
        <f t="shared" si="1"/>
        <v>1.0472</v>
      </c>
      <c r="G18" s="1">
        <v>19687</v>
      </c>
      <c r="H18" s="85">
        <f t="shared" si="2"/>
        <v>0</v>
      </c>
    </row>
    <row r="19" spans="1:8" ht="33" customHeight="1">
      <c r="A19" s="28" t="s">
        <v>8</v>
      </c>
      <c r="B19" s="76" t="s">
        <v>141</v>
      </c>
      <c r="C19" s="79">
        <v>105300</v>
      </c>
      <c r="D19" s="24">
        <f>C19+2373</f>
        <v>107673</v>
      </c>
      <c r="E19" s="100">
        <f t="shared" si="0"/>
        <v>2373</v>
      </c>
      <c r="F19" s="101">
        <f t="shared" si="1"/>
        <v>1.0225</v>
      </c>
      <c r="G19" s="1">
        <v>107673</v>
      </c>
      <c r="H19" s="85">
        <f t="shared" si="2"/>
        <v>0</v>
      </c>
    </row>
    <row r="20" spans="1:8" ht="33" customHeight="1">
      <c r="A20" s="28" t="s">
        <v>9</v>
      </c>
      <c r="B20" s="76" t="s">
        <v>142</v>
      </c>
      <c r="C20" s="79">
        <v>27000</v>
      </c>
      <c r="D20" s="24">
        <f aca="true" t="shared" si="3" ref="D20:D35">C20</f>
        <v>27000</v>
      </c>
      <c r="E20" s="100" t="str">
        <f t="shared" si="0"/>
        <v>-</v>
      </c>
      <c r="F20" s="101">
        <f t="shared" si="1"/>
        <v>1</v>
      </c>
      <c r="G20" s="1">
        <v>27000</v>
      </c>
      <c r="H20" s="85">
        <f t="shared" si="2"/>
        <v>0</v>
      </c>
    </row>
    <row r="21" spans="1:8" ht="33" customHeight="1">
      <c r="A21" s="28" t="s">
        <v>10</v>
      </c>
      <c r="B21" s="76" t="s">
        <v>147</v>
      </c>
      <c r="C21" s="79">
        <v>1400</v>
      </c>
      <c r="D21" s="24">
        <f t="shared" si="3"/>
        <v>1400</v>
      </c>
      <c r="E21" s="100" t="str">
        <f t="shared" si="0"/>
        <v>-</v>
      </c>
      <c r="F21" s="101">
        <f t="shared" si="1"/>
        <v>1</v>
      </c>
      <c r="G21" s="1">
        <v>1400</v>
      </c>
      <c r="H21" s="85">
        <f t="shared" si="2"/>
        <v>0</v>
      </c>
    </row>
    <row r="22" spans="1:8" ht="46.5" customHeight="1">
      <c r="A22" s="28" t="s">
        <v>11</v>
      </c>
      <c r="B22" s="76" t="s">
        <v>143</v>
      </c>
      <c r="C22" s="79">
        <v>10300</v>
      </c>
      <c r="D22" s="24">
        <f>C22+145</f>
        <v>10445</v>
      </c>
      <c r="E22" s="100">
        <f t="shared" si="0"/>
        <v>145</v>
      </c>
      <c r="F22" s="101">
        <f t="shared" si="1"/>
        <v>1.0141</v>
      </c>
      <c r="G22" s="1">
        <v>10445</v>
      </c>
      <c r="H22" s="85">
        <f t="shared" si="2"/>
        <v>0</v>
      </c>
    </row>
    <row r="23" spans="1:8" ht="33" customHeight="1">
      <c r="A23" s="28" t="s">
        <v>12</v>
      </c>
      <c r="B23" s="76" t="s">
        <v>197</v>
      </c>
      <c r="C23" s="79">
        <v>97500</v>
      </c>
      <c r="D23" s="24">
        <f>C23+10392</f>
        <v>107892</v>
      </c>
      <c r="E23" s="100">
        <f t="shared" si="0"/>
        <v>10392</v>
      </c>
      <c r="F23" s="101">
        <f t="shared" si="1"/>
        <v>1.1066</v>
      </c>
      <c r="G23" s="1">
        <v>107892</v>
      </c>
      <c r="H23" s="85">
        <f t="shared" si="2"/>
        <v>0</v>
      </c>
    </row>
    <row r="24" spans="1:8" ht="33" customHeight="1">
      <c r="A24" s="28" t="s">
        <v>13</v>
      </c>
      <c r="B24" s="76" t="s">
        <v>175</v>
      </c>
      <c r="C24" s="79">
        <v>50000</v>
      </c>
      <c r="D24" s="24">
        <f t="shared" si="3"/>
        <v>50000</v>
      </c>
      <c r="E24" s="100" t="str">
        <f t="shared" si="0"/>
        <v>-</v>
      </c>
      <c r="F24" s="101">
        <f t="shared" si="1"/>
        <v>1</v>
      </c>
      <c r="G24" s="1">
        <v>50000</v>
      </c>
      <c r="H24" s="85">
        <f t="shared" si="2"/>
        <v>0</v>
      </c>
    </row>
    <row r="25" spans="1:8" ht="33" customHeight="1">
      <c r="A25" s="29" t="s">
        <v>14</v>
      </c>
      <c r="B25" s="76" t="s">
        <v>176</v>
      </c>
      <c r="C25" s="79">
        <v>528687</v>
      </c>
      <c r="D25" s="24">
        <f>C25</f>
        <v>528687</v>
      </c>
      <c r="E25" s="100" t="str">
        <f t="shared" si="0"/>
        <v>-</v>
      </c>
      <c r="F25" s="101">
        <f t="shared" si="1"/>
        <v>1</v>
      </c>
      <c r="G25" s="1">
        <v>528687</v>
      </c>
      <c r="H25" s="85">
        <f t="shared" si="2"/>
        <v>0</v>
      </c>
    </row>
    <row r="26" spans="1:8" ht="31.5">
      <c r="A26" s="27" t="s">
        <v>148</v>
      </c>
      <c r="B26" s="88" t="s">
        <v>178</v>
      </c>
      <c r="C26" s="79">
        <v>528087</v>
      </c>
      <c r="D26" s="24">
        <f t="shared" si="3"/>
        <v>528087</v>
      </c>
      <c r="E26" s="100" t="str">
        <f t="shared" si="0"/>
        <v>-</v>
      </c>
      <c r="F26" s="101">
        <f t="shared" si="1"/>
        <v>1</v>
      </c>
      <c r="G26" s="1">
        <v>528087</v>
      </c>
      <c r="H26" s="85">
        <f t="shared" si="2"/>
        <v>0</v>
      </c>
    </row>
    <row r="27" spans="1:8" ht="31.5" customHeight="1">
      <c r="A27" s="77" t="s">
        <v>177</v>
      </c>
      <c r="B27" s="88" t="s">
        <v>180</v>
      </c>
      <c r="C27" s="79">
        <v>500</v>
      </c>
      <c r="D27" s="24">
        <f t="shared" si="3"/>
        <v>500</v>
      </c>
      <c r="E27" s="100" t="str">
        <f t="shared" si="0"/>
        <v>-</v>
      </c>
      <c r="F27" s="101">
        <f t="shared" si="1"/>
        <v>1</v>
      </c>
      <c r="G27" s="1">
        <v>500</v>
      </c>
      <c r="H27" s="85">
        <f t="shared" si="2"/>
        <v>0</v>
      </c>
    </row>
    <row r="28" spans="1:8" ht="31.5" customHeight="1">
      <c r="A28" s="77" t="s">
        <v>181</v>
      </c>
      <c r="B28" s="88" t="s">
        <v>179</v>
      </c>
      <c r="C28" s="79">
        <v>100</v>
      </c>
      <c r="D28" s="24">
        <f t="shared" si="3"/>
        <v>100</v>
      </c>
      <c r="E28" s="100" t="str">
        <f t="shared" si="0"/>
        <v>-</v>
      </c>
      <c r="F28" s="101">
        <f t="shared" si="1"/>
        <v>1</v>
      </c>
      <c r="G28" s="1">
        <v>100</v>
      </c>
      <c r="H28" s="85">
        <f t="shared" si="2"/>
        <v>0</v>
      </c>
    </row>
    <row r="29" spans="1:8" ht="33" customHeight="1">
      <c r="A29" s="30" t="s">
        <v>15</v>
      </c>
      <c r="B29" s="35" t="s">
        <v>124</v>
      </c>
      <c r="C29" s="79">
        <v>0</v>
      </c>
      <c r="D29" s="24">
        <f t="shared" si="3"/>
        <v>0</v>
      </c>
      <c r="E29" s="100" t="str">
        <f t="shared" si="0"/>
        <v>-</v>
      </c>
      <c r="F29" s="101" t="str">
        <f t="shared" si="1"/>
        <v>-</v>
      </c>
      <c r="G29" s="1">
        <v>0</v>
      </c>
      <c r="H29" s="85">
        <f t="shared" si="2"/>
        <v>0</v>
      </c>
    </row>
    <row r="30" spans="1:8" ht="33" customHeight="1">
      <c r="A30" s="30" t="s">
        <v>121</v>
      </c>
      <c r="B30" s="39" t="s">
        <v>182</v>
      </c>
      <c r="C30" s="79">
        <v>0</v>
      </c>
      <c r="D30" s="24">
        <f t="shared" si="3"/>
        <v>0</v>
      </c>
      <c r="E30" s="100" t="str">
        <f t="shared" si="0"/>
        <v>-</v>
      </c>
      <c r="F30" s="101" t="str">
        <f t="shared" si="1"/>
        <v>-</v>
      </c>
      <c r="G30" s="1">
        <v>0</v>
      </c>
      <c r="H30" s="85">
        <f t="shared" si="2"/>
        <v>0</v>
      </c>
    </row>
    <row r="31" spans="1:8" ht="31.5" customHeight="1">
      <c r="A31" s="77" t="s">
        <v>183</v>
      </c>
      <c r="B31" s="88" t="s">
        <v>199</v>
      </c>
      <c r="C31" s="79">
        <v>0</v>
      </c>
      <c r="D31" s="24">
        <f t="shared" si="3"/>
        <v>0</v>
      </c>
      <c r="E31" s="100" t="str">
        <f t="shared" si="0"/>
        <v>-</v>
      </c>
      <c r="F31" s="101" t="str">
        <f t="shared" si="1"/>
        <v>-</v>
      </c>
      <c r="G31" s="1">
        <v>0</v>
      </c>
      <c r="H31" s="85">
        <f t="shared" si="2"/>
        <v>0</v>
      </c>
    </row>
    <row r="32" spans="1:8" ht="33" customHeight="1">
      <c r="A32" s="30" t="s">
        <v>122</v>
      </c>
      <c r="B32" s="36" t="s">
        <v>125</v>
      </c>
      <c r="C32" s="79">
        <v>211140</v>
      </c>
      <c r="D32" s="24">
        <f>C32-211140</f>
        <v>0</v>
      </c>
      <c r="E32" s="100">
        <f t="shared" si="0"/>
        <v>-211140</v>
      </c>
      <c r="F32" s="101">
        <f t="shared" si="1"/>
        <v>0</v>
      </c>
      <c r="G32" s="1">
        <v>0</v>
      </c>
      <c r="H32" s="85">
        <f t="shared" si="2"/>
        <v>0</v>
      </c>
    </row>
    <row r="33" spans="1:8" ht="33" customHeight="1">
      <c r="A33" s="30" t="s">
        <v>123</v>
      </c>
      <c r="B33" s="39" t="s">
        <v>198</v>
      </c>
      <c r="C33" s="79">
        <v>290</v>
      </c>
      <c r="D33" s="24">
        <f>C33+11719</f>
        <v>12009</v>
      </c>
      <c r="E33" s="100">
        <f t="shared" si="0"/>
        <v>11719</v>
      </c>
      <c r="F33" s="101">
        <f t="shared" si="1"/>
        <v>41.4103</v>
      </c>
      <c r="G33" s="1">
        <v>12009</v>
      </c>
      <c r="H33" s="85">
        <f t="shared" si="2"/>
        <v>0</v>
      </c>
    </row>
    <row r="34" spans="1:8" s="4" customFormat="1" ht="31.5" customHeight="1">
      <c r="A34" s="31" t="s">
        <v>60</v>
      </c>
      <c r="B34" s="37" t="s">
        <v>61</v>
      </c>
      <c r="C34" s="82">
        <v>0</v>
      </c>
      <c r="D34" s="94">
        <f t="shared" si="3"/>
        <v>0</v>
      </c>
      <c r="E34" s="14" t="str">
        <f t="shared" si="0"/>
        <v>-</v>
      </c>
      <c r="F34" s="102" t="str">
        <f t="shared" si="1"/>
        <v>-</v>
      </c>
      <c r="G34" s="4">
        <v>0</v>
      </c>
      <c r="H34" s="85">
        <f t="shared" si="2"/>
        <v>0</v>
      </c>
    </row>
    <row r="35" spans="1:8" s="4" customFormat="1" ht="31.5" customHeight="1">
      <c r="A35" s="31" t="s">
        <v>59</v>
      </c>
      <c r="B35" s="37" t="s">
        <v>62</v>
      </c>
      <c r="C35" s="82">
        <v>103845</v>
      </c>
      <c r="D35" s="95">
        <f t="shared" si="3"/>
        <v>103845</v>
      </c>
      <c r="E35" s="14" t="str">
        <f t="shared" si="0"/>
        <v>-</v>
      </c>
      <c r="F35" s="102">
        <f t="shared" si="1"/>
        <v>1</v>
      </c>
      <c r="G35" s="4">
        <v>103845</v>
      </c>
      <c r="H35" s="85">
        <f t="shared" si="2"/>
        <v>0</v>
      </c>
    </row>
    <row r="36" spans="1:8" s="4" customFormat="1" ht="42.75" customHeight="1">
      <c r="A36" s="31" t="s">
        <v>184</v>
      </c>
      <c r="B36" s="37" t="s">
        <v>185</v>
      </c>
      <c r="C36" s="82">
        <f>C12+C14+C25+C31</f>
        <v>654687</v>
      </c>
      <c r="D36" s="82">
        <f>D12+D14+D25+D31</f>
        <v>669118</v>
      </c>
      <c r="E36" s="14">
        <f t="shared" si="0"/>
        <v>14431</v>
      </c>
      <c r="F36" s="102">
        <f t="shared" si="1"/>
        <v>1.022</v>
      </c>
      <c r="G36" s="4">
        <v>669118</v>
      </c>
      <c r="H36" s="85">
        <f t="shared" si="2"/>
        <v>0</v>
      </c>
    </row>
    <row r="37" spans="1:6" s="2" customFormat="1" ht="30" customHeight="1">
      <c r="A37" s="25" t="s">
        <v>16</v>
      </c>
      <c r="B37" s="44" t="s">
        <v>195</v>
      </c>
      <c r="C37" s="23">
        <f>C38+C39+C40+C48+C50+C56+C57+C55</f>
        <v>30177</v>
      </c>
      <c r="D37" s="23">
        <f>D38+D39+D40+D48+D50+D56+D57+D55</f>
        <v>30177</v>
      </c>
      <c r="E37" s="12" t="str">
        <f t="shared" si="0"/>
        <v>-</v>
      </c>
      <c r="F37" s="103">
        <f t="shared" si="1"/>
        <v>1</v>
      </c>
    </row>
    <row r="38" spans="1:6" ht="28.5" customHeight="1">
      <c r="A38" s="30" t="s">
        <v>17</v>
      </c>
      <c r="B38" s="39" t="s">
        <v>18</v>
      </c>
      <c r="C38" s="79">
        <v>1665</v>
      </c>
      <c r="D38" s="83">
        <f>C38</f>
        <v>1665</v>
      </c>
      <c r="E38" s="100" t="str">
        <f t="shared" si="0"/>
        <v>-</v>
      </c>
      <c r="F38" s="101">
        <f t="shared" si="1"/>
        <v>1</v>
      </c>
    </row>
    <row r="39" spans="1:6" ht="28.5" customHeight="1">
      <c r="A39" s="30" t="s">
        <v>19</v>
      </c>
      <c r="B39" s="39" t="s">
        <v>20</v>
      </c>
      <c r="C39" s="79">
        <v>3178</v>
      </c>
      <c r="D39" s="83">
        <f>C39</f>
        <v>3178</v>
      </c>
      <c r="E39" s="100" t="str">
        <f t="shared" si="0"/>
        <v>-</v>
      </c>
      <c r="F39" s="101">
        <f t="shared" si="1"/>
        <v>1</v>
      </c>
    </row>
    <row r="40" spans="1:6" ht="28.5" customHeight="1">
      <c r="A40" s="30" t="s">
        <v>21</v>
      </c>
      <c r="B40" s="40" t="s">
        <v>32</v>
      </c>
      <c r="C40" s="93">
        <f>C41+C43+C44+C45+C46+C47</f>
        <v>273</v>
      </c>
      <c r="D40" s="83">
        <f>D41+D43+D44+D45+D46+D47</f>
        <v>273</v>
      </c>
      <c r="E40" s="100" t="str">
        <f t="shared" si="0"/>
        <v>-</v>
      </c>
      <c r="F40" s="101">
        <f t="shared" si="1"/>
        <v>1</v>
      </c>
    </row>
    <row r="41" spans="1:6" ht="28.5" customHeight="1">
      <c r="A41" s="41" t="s">
        <v>40</v>
      </c>
      <c r="B41" s="42" t="s">
        <v>33</v>
      </c>
      <c r="C41" s="79">
        <v>46</v>
      </c>
      <c r="D41" s="83">
        <f>C41</f>
        <v>46</v>
      </c>
      <c r="E41" s="100" t="str">
        <f t="shared" si="0"/>
        <v>-</v>
      </c>
      <c r="F41" s="101">
        <f t="shared" si="1"/>
        <v>1</v>
      </c>
    </row>
    <row r="42" spans="1:6" ht="28.5" customHeight="1">
      <c r="A42" s="41" t="s">
        <v>41</v>
      </c>
      <c r="B42" s="43" t="s">
        <v>34</v>
      </c>
      <c r="C42" s="79">
        <v>46</v>
      </c>
      <c r="D42" s="83">
        <f aca="true" t="shared" si="4" ref="D42:D61">C42</f>
        <v>46</v>
      </c>
      <c r="E42" s="100" t="str">
        <f t="shared" si="0"/>
        <v>-</v>
      </c>
      <c r="F42" s="101">
        <f t="shared" si="1"/>
        <v>1</v>
      </c>
    </row>
    <row r="43" spans="1:6" ht="28.5" customHeight="1">
      <c r="A43" s="41" t="s">
        <v>42</v>
      </c>
      <c r="B43" s="42" t="s">
        <v>35</v>
      </c>
      <c r="C43" s="79">
        <v>0</v>
      </c>
      <c r="D43" s="83">
        <f t="shared" si="4"/>
        <v>0</v>
      </c>
      <c r="E43" s="100" t="str">
        <f t="shared" si="0"/>
        <v>-</v>
      </c>
      <c r="F43" s="101" t="str">
        <f t="shared" si="1"/>
        <v>-</v>
      </c>
    </row>
    <row r="44" spans="1:6" ht="28.5" customHeight="1">
      <c r="A44" s="41" t="s">
        <v>43</v>
      </c>
      <c r="B44" s="42" t="s">
        <v>36</v>
      </c>
      <c r="C44" s="79">
        <v>6</v>
      </c>
      <c r="D44" s="83">
        <f t="shared" si="4"/>
        <v>6</v>
      </c>
      <c r="E44" s="100" t="str">
        <f t="shared" si="0"/>
        <v>-</v>
      </c>
      <c r="F44" s="101">
        <f t="shared" si="1"/>
        <v>1</v>
      </c>
    </row>
    <row r="45" spans="1:6" ht="28.5" customHeight="1">
      <c r="A45" s="41" t="s">
        <v>44</v>
      </c>
      <c r="B45" s="42" t="s">
        <v>37</v>
      </c>
      <c r="C45" s="79">
        <v>0</v>
      </c>
      <c r="D45" s="83">
        <f t="shared" si="4"/>
        <v>0</v>
      </c>
      <c r="E45" s="100" t="str">
        <f t="shared" si="0"/>
        <v>-</v>
      </c>
      <c r="F45" s="101" t="str">
        <f t="shared" si="1"/>
        <v>-</v>
      </c>
    </row>
    <row r="46" spans="1:6" ht="28.5" customHeight="1">
      <c r="A46" s="41" t="s">
        <v>45</v>
      </c>
      <c r="B46" s="42" t="s">
        <v>38</v>
      </c>
      <c r="C46" s="79">
        <v>209</v>
      </c>
      <c r="D46" s="83">
        <f t="shared" si="4"/>
        <v>209</v>
      </c>
      <c r="E46" s="100" t="str">
        <f t="shared" si="0"/>
        <v>-</v>
      </c>
      <c r="F46" s="101">
        <f t="shared" si="1"/>
        <v>1</v>
      </c>
    </row>
    <row r="47" spans="1:6" ht="28.5" customHeight="1">
      <c r="A47" s="41" t="s">
        <v>46</v>
      </c>
      <c r="B47" s="42" t="s">
        <v>39</v>
      </c>
      <c r="C47" s="79">
        <v>12</v>
      </c>
      <c r="D47" s="83">
        <f>C47</f>
        <v>12</v>
      </c>
      <c r="E47" s="100" t="str">
        <f t="shared" si="0"/>
        <v>-</v>
      </c>
      <c r="F47" s="101">
        <f t="shared" si="1"/>
        <v>1</v>
      </c>
    </row>
    <row r="48" spans="1:6" ht="28.5" customHeight="1">
      <c r="A48" s="30" t="s">
        <v>22</v>
      </c>
      <c r="B48" s="39" t="s">
        <v>186</v>
      </c>
      <c r="C48" s="79">
        <v>17941</v>
      </c>
      <c r="D48" s="83">
        <f>C48</f>
        <v>17941</v>
      </c>
      <c r="E48" s="100" t="str">
        <f t="shared" si="0"/>
        <v>-</v>
      </c>
      <c r="F48" s="101">
        <f t="shared" si="1"/>
        <v>1</v>
      </c>
    </row>
    <row r="49" spans="1:6" ht="28.5" customHeight="1">
      <c r="A49" s="41" t="s">
        <v>187</v>
      </c>
      <c r="B49" s="42" t="s">
        <v>188</v>
      </c>
      <c r="C49" s="79">
        <v>100</v>
      </c>
      <c r="D49" s="83">
        <f>C49</f>
        <v>100</v>
      </c>
      <c r="E49" s="100" t="str">
        <f t="shared" si="0"/>
        <v>-</v>
      </c>
      <c r="F49" s="101">
        <f t="shared" si="1"/>
        <v>1</v>
      </c>
    </row>
    <row r="50" spans="1:6" ht="28.5" customHeight="1">
      <c r="A50" s="30" t="s">
        <v>23</v>
      </c>
      <c r="B50" s="40" t="s">
        <v>55</v>
      </c>
      <c r="C50" s="93">
        <f>C51+C52+C53+C54</f>
        <v>3986</v>
      </c>
      <c r="D50" s="83">
        <f>D51+D52+D53+D54</f>
        <v>3986</v>
      </c>
      <c r="E50" s="100" t="str">
        <f t="shared" si="0"/>
        <v>-</v>
      </c>
      <c r="F50" s="101">
        <f t="shared" si="1"/>
        <v>1</v>
      </c>
    </row>
    <row r="51" spans="1:6" ht="28.5" customHeight="1">
      <c r="A51" s="41" t="s">
        <v>51</v>
      </c>
      <c r="B51" s="42" t="s">
        <v>47</v>
      </c>
      <c r="C51" s="83">
        <v>3084</v>
      </c>
      <c r="D51" s="83">
        <f t="shared" si="4"/>
        <v>3084</v>
      </c>
      <c r="E51" s="100" t="str">
        <f t="shared" si="0"/>
        <v>-</v>
      </c>
      <c r="F51" s="101">
        <f t="shared" si="1"/>
        <v>1</v>
      </c>
    </row>
    <row r="52" spans="1:6" ht="28.5" customHeight="1">
      <c r="A52" s="41" t="s">
        <v>52</v>
      </c>
      <c r="B52" s="42" t="s">
        <v>48</v>
      </c>
      <c r="C52" s="83">
        <v>440</v>
      </c>
      <c r="D52" s="83">
        <f t="shared" si="4"/>
        <v>440</v>
      </c>
      <c r="E52" s="100" t="str">
        <f t="shared" si="0"/>
        <v>-</v>
      </c>
      <c r="F52" s="101">
        <f t="shared" si="1"/>
        <v>1</v>
      </c>
    </row>
    <row r="53" spans="1:6" ht="28.5" customHeight="1">
      <c r="A53" s="41" t="s">
        <v>53</v>
      </c>
      <c r="B53" s="42" t="s">
        <v>49</v>
      </c>
      <c r="C53" s="83">
        <v>0</v>
      </c>
      <c r="D53" s="83">
        <f t="shared" si="4"/>
        <v>0</v>
      </c>
      <c r="E53" s="100" t="str">
        <f t="shared" si="0"/>
        <v>-</v>
      </c>
      <c r="F53" s="101" t="str">
        <f t="shared" si="1"/>
        <v>-</v>
      </c>
    </row>
    <row r="54" spans="1:6" ht="28.5" customHeight="1">
      <c r="A54" s="41" t="s">
        <v>54</v>
      </c>
      <c r="B54" s="42" t="s">
        <v>50</v>
      </c>
      <c r="C54" s="83">
        <v>462</v>
      </c>
      <c r="D54" s="83">
        <f t="shared" si="4"/>
        <v>462</v>
      </c>
      <c r="E54" s="100" t="str">
        <f t="shared" si="0"/>
        <v>-</v>
      </c>
      <c r="F54" s="101">
        <f t="shared" si="1"/>
        <v>1</v>
      </c>
    </row>
    <row r="55" spans="1:6" ht="28.5" customHeight="1">
      <c r="A55" s="30" t="s">
        <v>24</v>
      </c>
      <c r="B55" s="39" t="s">
        <v>25</v>
      </c>
      <c r="C55" s="79">
        <v>0</v>
      </c>
      <c r="D55" s="83">
        <f>C55</f>
        <v>0</v>
      </c>
      <c r="E55" s="100" t="str">
        <f t="shared" si="0"/>
        <v>-</v>
      </c>
      <c r="F55" s="101" t="str">
        <f t="shared" si="1"/>
        <v>-</v>
      </c>
    </row>
    <row r="56" spans="1:6" ht="28.5" customHeight="1">
      <c r="A56" s="30" t="s">
        <v>26</v>
      </c>
      <c r="B56" s="39" t="s">
        <v>189</v>
      </c>
      <c r="C56" s="79">
        <v>2901</v>
      </c>
      <c r="D56" s="83">
        <f>C56</f>
        <v>2901</v>
      </c>
      <c r="E56" s="100" t="str">
        <f t="shared" si="0"/>
        <v>-</v>
      </c>
      <c r="F56" s="104">
        <f t="shared" si="1"/>
        <v>1</v>
      </c>
    </row>
    <row r="57" spans="1:6" ht="28.5" customHeight="1">
      <c r="A57" s="30" t="s">
        <v>27</v>
      </c>
      <c r="B57" s="39" t="s">
        <v>28</v>
      </c>
      <c r="C57" s="79">
        <v>233</v>
      </c>
      <c r="D57" s="83">
        <f>C57</f>
        <v>233</v>
      </c>
      <c r="E57" s="100" t="str">
        <f t="shared" si="0"/>
        <v>-</v>
      </c>
      <c r="F57" s="101">
        <f t="shared" si="1"/>
        <v>1</v>
      </c>
    </row>
    <row r="58" spans="1:6" s="2" customFormat="1" ht="30" customHeight="1">
      <c r="A58" s="32" t="s">
        <v>29</v>
      </c>
      <c r="B58" s="44" t="s">
        <v>190</v>
      </c>
      <c r="C58" s="81">
        <f>C59+C60+C61+C62</f>
        <v>28764</v>
      </c>
      <c r="D58" s="26">
        <f>D59+D60+D61+D62</f>
        <v>28764</v>
      </c>
      <c r="E58" s="12" t="str">
        <f t="shared" si="0"/>
        <v>-</v>
      </c>
      <c r="F58" s="105">
        <f t="shared" si="1"/>
        <v>1</v>
      </c>
    </row>
    <row r="59" spans="1:6" ht="42" customHeight="1">
      <c r="A59" s="30" t="s">
        <v>104</v>
      </c>
      <c r="B59" s="39" t="s">
        <v>126</v>
      </c>
      <c r="C59" s="79">
        <v>65</v>
      </c>
      <c r="D59" s="83">
        <f t="shared" si="4"/>
        <v>65</v>
      </c>
      <c r="E59" s="75" t="str">
        <f t="shared" si="0"/>
        <v>-</v>
      </c>
      <c r="F59" s="101">
        <f t="shared" si="1"/>
        <v>1</v>
      </c>
    </row>
    <row r="60" spans="1:6" ht="31.5" customHeight="1">
      <c r="A60" s="30" t="s">
        <v>30</v>
      </c>
      <c r="B60" s="39" t="s">
        <v>57</v>
      </c>
      <c r="C60" s="79">
        <v>24004</v>
      </c>
      <c r="D60" s="83">
        <f t="shared" si="4"/>
        <v>24004</v>
      </c>
      <c r="E60" s="75" t="str">
        <f t="shared" si="0"/>
        <v>-</v>
      </c>
      <c r="F60" s="101">
        <f t="shared" si="1"/>
        <v>1</v>
      </c>
    </row>
    <row r="61" spans="1:6" ht="31.5" customHeight="1">
      <c r="A61" s="30" t="s">
        <v>31</v>
      </c>
      <c r="B61" s="39" t="s">
        <v>106</v>
      </c>
      <c r="C61" s="79">
        <v>0</v>
      </c>
      <c r="D61" s="83">
        <f t="shared" si="4"/>
        <v>0</v>
      </c>
      <c r="E61" s="75" t="str">
        <f t="shared" si="0"/>
        <v>-</v>
      </c>
      <c r="F61" s="101" t="str">
        <f t="shared" si="1"/>
        <v>-</v>
      </c>
    </row>
    <row r="62" spans="1:6" ht="31.5" customHeight="1">
      <c r="A62" s="30" t="s">
        <v>105</v>
      </c>
      <c r="B62" s="39" t="s">
        <v>107</v>
      </c>
      <c r="C62" s="79">
        <v>4695</v>
      </c>
      <c r="D62" s="83">
        <f>C62</f>
        <v>4695</v>
      </c>
      <c r="E62" s="75" t="str">
        <f t="shared" si="0"/>
        <v>-</v>
      </c>
      <c r="F62" s="101">
        <f t="shared" si="1"/>
        <v>1</v>
      </c>
    </row>
    <row r="63" spans="1:6" ht="32.25" customHeight="1">
      <c r="A63" s="32" t="s">
        <v>112</v>
      </c>
      <c r="B63" s="44" t="s">
        <v>133</v>
      </c>
      <c r="C63" s="81">
        <v>8089</v>
      </c>
      <c r="D63" s="26">
        <f>C63</f>
        <v>8089</v>
      </c>
      <c r="E63" s="12" t="str">
        <f t="shared" si="0"/>
        <v>-</v>
      </c>
      <c r="F63" s="105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63"/>
  <sheetViews>
    <sheetView showGridLines="0" view="pageBreakPreview" zoomScale="55" zoomScaleNormal="70" zoomScaleSheetLayoutView="55" zoomScalePageLayoutView="0" workbookViewId="0" topLeftCell="A1">
      <pane xSplit="2" ySplit="7" topLeftCell="C20" activePane="bottomRight" state="frozen"/>
      <selection pane="topLeft" activeCell="A2" sqref="A2:B2"/>
      <selection pane="topRight" activeCell="A2" sqref="A2:B2"/>
      <selection pane="bottomLeft" activeCell="A2" sqref="A2:B2"/>
      <selection pane="bottomRight" activeCell="A2" sqref="A2:B2"/>
    </sheetView>
  </sheetViews>
  <sheetFormatPr defaultColWidth="9.00390625" defaultRowHeight="12.75"/>
  <cols>
    <col min="1" max="1" width="9.125" style="1" customWidth="1"/>
    <col min="2" max="2" width="125.875" style="1" customWidth="1"/>
    <col min="3" max="3" width="25.75390625" style="1" customWidth="1"/>
    <col min="4" max="4" width="26.875" style="1" customWidth="1"/>
    <col min="5" max="6" width="20.75390625" style="1" customWidth="1"/>
    <col min="7" max="7" width="9.125" style="1" customWidth="1"/>
    <col min="8" max="8" width="9.375" style="1" bestFit="1" customWidth="1"/>
    <col min="9" max="16384" width="9.125" style="1" customWidth="1"/>
  </cols>
  <sheetData>
    <row r="1" spans="1:6" s="47" customFormat="1" ht="54.75" customHeight="1">
      <c r="A1" s="119" t="str">
        <f>NFZ!A1</f>
        <v>URUCHOMIENIE REZERWY NA KOSZTY ŚWIADCZEŃ OPIEKI ZDROWOTNEJ W RAMACH MIGRACJI UBEZPIECZONYCH Z DNIA 30 SIERPNIA 2012 R. W PLANIE FINANSOWYM NARODOWEGO FUNDUSZU ZDROWIA NA 2013 ROK</v>
      </c>
      <c r="B1" s="119"/>
      <c r="C1" s="119"/>
      <c r="D1" s="119"/>
      <c r="E1" s="119"/>
      <c r="F1" s="119"/>
    </row>
    <row r="2" spans="1:3" s="49" customFormat="1" ht="33" customHeight="1">
      <c r="A2" s="87" t="s">
        <v>74</v>
      </c>
      <c r="B2" s="87"/>
      <c r="C2" s="96"/>
    </row>
    <row r="3" spans="1:6" ht="33" customHeight="1">
      <c r="A3" s="7"/>
      <c r="B3" s="8"/>
      <c r="C3" s="86"/>
      <c r="D3" s="86"/>
      <c r="E3" s="86" t="s">
        <v>166</v>
      </c>
      <c r="F3" s="9"/>
    </row>
    <row r="4" spans="1:6" s="5" customFormat="1" ht="45" customHeight="1">
      <c r="A4" s="114" t="s">
        <v>137</v>
      </c>
      <c r="B4" s="114" t="s">
        <v>56</v>
      </c>
      <c r="C4" s="115" t="s">
        <v>206</v>
      </c>
      <c r="D4" s="115" t="s">
        <v>203</v>
      </c>
      <c r="E4" s="118" t="s">
        <v>204</v>
      </c>
      <c r="F4" s="118" t="s">
        <v>205</v>
      </c>
    </row>
    <row r="5" spans="1:6" s="5" customFormat="1" ht="45" customHeight="1">
      <c r="A5" s="114"/>
      <c r="B5" s="114"/>
      <c r="C5" s="116"/>
      <c r="D5" s="116"/>
      <c r="E5" s="118"/>
      <c r="F5" s="118"/>
    </row>
    <row r="6" spans="1:6" s="3" customFormat="1" ht="14.25">
      <c r="A6" s="46">
        <v>1</v>
      </c>
      <c r="B6" s="51">
        <v>2</v>
      </c>
      <c r="C6" s="46">
        <v>3</v>
      </c>
      <c r="D6" s="51">
        <v>4</v>
      </c>
      <c r="E6" s="46">
        <v>5</v>
      </c>
      <c r="F6" s="51">
        <v>6</v>
      </c>
    </row>
    <row r="7" spans="1:6" s="2" customFormat="1" ht="30" customHeight="1">
      <c r="A7" s="22" t="s">
        <v>0</v>
      </c>
      <c r="B7" s="38" t="s">
        <v>174</v>
      </c>
      <c r="C7" s="97">
        <f>C8+C9+C10+C15+C16+C17+C18+C19+C20+C21+C22+C23+C24+C25+C29+C30+C32+C33</f>
        <v>7590652</v>
      </c>
      <c r="D7" s="15">
        <f>D8+D9+D10+D15+D16+D17+D18+D19+D20+D21+D22+D23+D24+D25+D29+D30+D32+D33</f>
        <v>7590652</v>
      </c>
      <c r="E7" s="12" t="str">
        <f>IF(C7=D7,"-",D7-C7)</f>
        <v>-</v>
      </c>
      <c r="F7" s="99">
        <f>IF(C7=0,"-",D7/C7)</f>
        <v>1</v>
      </c>
    </row>
    <row r="8" spans="1:8" ht="33" customHeight="1">
      <c r="A8" s="28" t="s">
        <v>1</v>
      </c>
      <c r="B8" s="76" t="s">
        <v>138</v>
      </c>
      <c r="C8" s="24">
        <v>913414</v>
      </c>
      <c r="D8" s="24">
        <f>C8</f>
        <v>913414</v>
      </c>
      <c r="E8" s="100" t="str">
        <f aca="true" t="shared" si="0" ref="E8:E63">IF(C8=D8,"-",D8-C8)</f>
        <v>-</v>
      </c>
      <c r="F8" s="101">
        <f aca="true" t="shared" si="1" ref="F8:F63">IF(C8=0,"-",D8/C8)</f>
        <v>1</v>
      </c>
      <c r="G8" s="1">
        <v>913414</v>
      </c>
      <c r="H8" s="85">
        <f>D8-G8</f>
        <v>0</v>
      </c>
    </row>
    <row r="9" spans="1:8" ht="33" customHeight="1">
      <c r="A9" s="28" t="s">
        <v>2</v>
      </c>
      <c r="B9" s="76" t="s">
        <v>139</v>
      </c>
      <c r="C9" s="24">
        <v>706938</v>
      </c>
      <c r="D9" s="24">
        <f>C9+14620</f>
        <v>721558</v>
      </c>
      <c r="E9" s="100">
        <f t="shared" si="0"/>
        <v>14620</v>
      </c>
      <c r="F9" s="101">
        <f t="shared" si="1"/>
        <v>1.0207</v>
      </c>
      <c r="G9" s="1">
        <v>721558</v>
      </c>
      <c r="H9" s="85">
        <f aca="true" t="shared" si="2" ref="H9:H36">D9-G9</f>
        <v>0</v>
      </c>
    </row>
    <row r="10" spans="1:8" ht="33" customHeight="1">
      <c r="A10" s="28" t="s">
        <v>3</v>
      </c>
      <c r="B10" s="76" t="s">
        <v>136</v>
      </c>
      <c r="C10" s="24">
        <v>3312941</v>
      </c>
      <c r="D10" s="24">
        <f>C10+144297+1361+11916+3863+3729</f>
        <v>3478107</v>
      </c>
      <c r="E10" s="100">
        <f t="shared" si="0"/>
        <v>165166</v>
      </c>
      <c r="F10" s="101">
        <f t="shared" si="1"/>
        <v>1.0499</v>
      </c>
      <c r="G10" s="1">
        <v>3478107</v>
      </c>
      <c r="H10" s="85">
        <f t="shared" si="2"/>
        <v>0</v>
      </c>
    </row>
    <row r="11" spans="1:8" ht="31.5" customHeight="1">
      <c r="A11" s="77" t="s">
        <v>58</v>
      </c>
      <c r="B11" s="88" t="s">
        <v>167</v>
      </c>
      <c r="C11" s="24">
        <v>216980</v>
      </c>
      <c r="D11" s="24">
        <f>C11+1361+11916</f>
        <v>230257</v>
      </c>
      <c r="E11" s="100">
        <f t="shared" si="0"/>
        <v>13277</v>
      </c>
      <c r="F11" s="101">
        <f t="shared" si="1"/>
        <v>1.0612</v>
      </c>
      <c r="G11" s="1">
        <v>230257</v>
      </c>
      <c r="H11" s="85">
        <f t="shared" si="2"/>
        <v>0</v>
      </c>
    </row>
    <row r="12" spans="1:8" ht="31.5" customHeight="1">
      <c r="A12" s="77" t="s">
        <v>168</v>
      </c>
      <c r="B12" s="88" t="s">
        <v>171</v>
      </c>
      <c r="C12" s="24">
        <v>193432</v>
      </c>
      <c r="D12" s="24">
        <f>C12+11916</f>
        <v>205348</v>
      </c>
      <c r="E12" s="100">
        <f t="shared" si="0"/>
        <v>11916</v>
      </c>
      <c r="F12" s="101">
        <f t="shared" si="1"/>
        <v>1.0616</v>
      </c>
      <c r="G12" s="1">
        <v>205348</v>
      </c>
      <c r="H12" s="85">
        <f t="shared" si="2"/>
        <v>0</v>
      </c>
    </row>
    <row r="13" spans="1:8" ht="31.5" customHeight="1">
      <c r="A13" s="77" t="s">
        <v>169</v>
      </c>
      <c r="B13" s="88" t="s">
        <v>172</v>
      </c>
      <c r="C13" s="24">
        <v>167632</v>
      </c>
      <c r="D13" s="24">
        <f>C13+3863+3729</f>
        <v>175224</v>
      </c>
      <c r="E13" s="100">
        <f t="shared" si="0"/>
        <v>7592</v>
      </c>
      <c r="F13" s="101">
        <f t="shared" si="1"/>
        <v>1.0453</v>
      </c>
      <c r="G13" s="1">
        <v>175224</v>
      </c>
      <c r="H13" s="85">
        <f t="shared" si="2"/>
        <v>0</v>
      </c>
    </row>
    <row r="14" spans="1:8" ht="31.5" customHeight="1">
      <c r="A14" s="77" t="s">
        <v>170</v>
      </c>
      <c r="B14" s="88" t="s">
        <v>173</v>
      </c>
      <c r="C14" s="24">
        <v>69927</v>
      </c>
      <c r="D14" s="24">
        <f>C14+3729</f>
        <v>73656</v>
      </c>
      <c r="E14" s="100">
        <f t="shared" si="0"/>
        <v>3729</v>
      </c>
      <c r="F14" s="101">
        <f t="shared" si="1"/>
        <v>1.0533</v>
      </c>
      <c r="G14" s="1">
        <v>73656</v>
      </c>
      <c r="H14" s="85">
        <f t="shared" si="2"/>
        <v>0</v>
      </c>
    </row>
    <row r="15" spans="1:8" ht="33" customHeight="1">
      <c r="A15" s="28" t="s">
        <v>4</v>
      </c>
      <c r="B15" s="76" t="s">
        <v>144</v>
      </c>
      <c r="C15" s="24">
        <v>258750</v>
      </c>
      <c r="D15" s="24">
        <f>C15+21437</f>
        <v>280187</v>
      </c>
      <c r="E15" s="100">
        <f t="shared" si="0"/>
        <v>21437</v>
      </c>
      <c r="F15" s="101">
        <f t="shared" si="1"/>
        <v>1.0828</v>
      </c>
      <c r="G15" s="1">
        <v>280187</v>
      </c>
      <c r="H15" s="85">
        <f t="shared" si="2"/>
        <v>0</v>
      </c>
    </row>
    <row r="16" spans="1:8" ht="33" customHeight="1">
      <c r="A16" s="28" t="s">
        <v>5</v>
      </c>
      <c r="B16" s="76" t="s">
        <v>140</v>
      </c>
      <c r="C16" s="24">
        <v>220515</v>
      </c>
      <c r="D16" s="24">
        <f>C16+15199</f>
        <v>235714</v>
      </c>
      <c r="E16" s="100">
        <f t="shared" si="0"/>
        <v>15199</v>
      </c>
      <c r="F16" s="101">
        <f t="shared" si="1"/>
        <v>1.0689</v>
      </c>
      <c r="G16" s="1">
        <v>235714</v>
      </c>
      <c r="H16" s="85">
        <f t="shared" si="2"/>
        <v>0</v>
      </c>
    </row>
    <row r="17" spans="1:8" ht="33" customHeight="1">
      <c r="A17" s="28" t="s">
        <v>6</v>
      </c>
      <c r="B17" s="76" t="s">
        <v>146</v>
      </c>
      <c r="C17" s="24">
        <v>179702</v>
      </c>
      <c r="D17" s="24">
        <f>C17+6837</f>
        <v>186539</v>
      </c>
      <c r="E17" s="100">
        <f t="shared" si="0"/>
        <v>6837</v>
      </c>
      <c r="F17" s="101">
        <f t="shared" si="1"/>
        <v>1.038</v>
      </c>
      <c r="G17" s="1">
        <v>186539</v>
      </c>
      <c r="H17" s="85">
        <f t="shared" si="2"/>
        <v>0</v>
      </c>
    </row>
    <row r="18" spans="1:8" ht="33" customHeight="1">
      <c r="A18" s="28" t="s">
        <v>7</v>
      </c>
      <c r="B18" s="76" t="s">
        <v>145</v>
      </c>
      <c r="C18" s="24">
        <v>45757</v>
      </c>
      <c r="D18" s="24">
        <f>C18+1224</f>
        <v>46981</v>
      </c>
      <c r="E18" s="100">
        <f t="shared" si="0"/>
        <v>1224</v>
      </c>
      <c r="F18" s="101">
        <f t="shared" si="1"/>
        <v>1.0268</v>
      </c>
      <c r="G18" s="1">
        <v>46981</v>
      </c>
      <c r="H18" s="85">
        <f t="shared" si="2"/>
        <v>0</v>
      </c>
    </row>
    <row r="19" spans="1:8" ht="33" customHeight="1">
      <c r="A19" s="28" t="s">
        <v>8</v>
      </c>
      <c r="B19" s="76" t="s">
        <v>141</v>
      </c>
      <c r="C19" s="24">
        <v>205965</v>
      </c>
      <c r="D19" s="24">
        <f>C19+4306</f>
        <v>210271</v>
      </c>
      <c r="E19" s="100">
        <f t="shared" si="0"/>
        <v>4306</v>
      </c>
      <c r="F19" s="101">
        <f t="shared" si="1"/>
        <v>1.0209</v>
      </c>
      <c r="G19" s="1">
        <v>210271</v>
      </c>
      <c r="H19" s="85">
        <f t="shared" si="2"/>
        <v>0</v>
      </c>
    </row>
    <row r="20" spans="1:8" ht="33" customHeight="1">
      <c r="A20" s="28" t="s">
        <v>9</v>
      </c>
      <c r="B20" s="76" t="s">
        <v>142</v>
      </c>
      <c r="C20" s="24">
        <v>70000</v>
      </c>
      <c r="D20" s="24">
        <f aca="true" t="shared" si="3" ref="D20:D35">C20</f>
        <v>70000</v>
      </c>
      <c r="E20" s="100" t="str">
        <f t="shared" si="0"/>
        <v>-</v>
      </c>
      <c r="F20" s="101">
        <f t="shared" si="1"/>
        <v>1</v>
      </c>
      <c r="G20" s="1">
        <v>70000</v>
      </c>
      <c r="H20" s="85">
        <f t="shared" si="2"/>
        <v>0</v>
      </c>
    </row>
    <row r="21" spans="1:8" ht="33" customHeight="1">
      <c r="A21" s="28" t="s">
        <v>10</v>
      </c>
      <c r="B21" s="76" t="s">
        <v>147</v>
      </c>
      <c r="C21" s="24">
        <v>4683</v>
      </c>
      <c r="D21" s="24">
        <f t="shared" si="3"/>
        <v>4683</v>
      </c>
      <c r="E21" s="100" t="str">
        <f t="shared" si="0"/>
        <v>-</v>
      </c>
      <c r="F21" s="101">
        <f t="shared" si="1"/>
        <v>1</v>
      </c>
      <c r="G21" s="1">
        <v>4683</v>
      </c>
      <c r="H21" s="85">
        <f t="shared" si="2"/>
        <v>0</v>
      </c>
    </row>
    <row r="22" spans="1:8" ht="46.5" customHeight="1">
      <c r="A22" s="28" t="s">
        <v>11</v>
      </c>
      <c r="B22" s="76" t="s">
        <v>143</v>
      </c>
      <c r="C22" s="24">
        <v>28306</v>
      </c>
      <c r="D22" s="24">
        <f>C22+156</f>
        <v>28462</v>
      </c>
      <c r="E22" s="100">
        <f t="shared" si="0"/>
        <v>156</v>
      </c>
      <c r="F22" s="101">
        <f t="shared" si="1"/>
        <v>1.0055</v>
      </c>
      <c r="G22" s="1">
        <v>28462</v>
      </c>
      <c r="H22" s="85">
        <f t="shared" si="2"/>
        <v>0</v>
      </c>
    </row>
    <row r="23" spans="1:8" ht="33" customHeight="1">
      <c r="A23" s="28" t="s">
        <v>12</v>
      </c>
      <c r="B23" s="76" t="s">
        <v>197</v>
      </c>
      <c r="C23" s="24">
        <v>187933</v>
      </c>
      <c r="D23" s="24">
        <f>C23+8276</f>
        <v>196209</v>
      </c>
      <c r="E23" s="100">
        <f t="shared" si="0"/>
        <v>8276</v>
      </c>
      <c r="F23" s="101">
        <f t="shared" si="1"/>
        <v>1.044</v>
      </c>
      <c r="G23" s="1">
        <v>196209</v>
      </c>
      <c r="H23" s="85">
        <f t="shared" si="2"/>
        <v>0</v>
      </c>
    </row>
    <row r="24" spans="1:8" ht="33" customHeight="1">
      <c r="A24" s="28" t="s">
        <v>13</v>
      </c>
      <c r="B24" s="76" t="s">
        <v>175</v>
      </c>
      <c r="C24" s="24">
        <v>106100</v>
      </c>
      <c r="D24" s="24">
        <f t="shared" si="3"/>
        <v>106100</v>
      </c>
      <c r="E24" s="100" t="str">
        <f t="shared" si="0"/>
        <v>-</v>
      </c>
      <c r="F24" s="101">
        <f t="shared" si="1"/>
        <v>1</v>
      </c>
      <c r="G24" s="1">
        <v>106100</v>
      </c>
      <c r="H24" s="85">
        <f t="shared" si="2"/>
        <v>0</v>
      </c>
    </row>
    <row r="25" spans="1:8" ht="33" customHeight="1">
      <c r="A25" s="29" t="s">
        <v>14</v>
      </c>
      <c r="B25" s="76" t="s">
        <v>176</v>
      </c>
      <c r="C25" s="24">
        <v>1061521</v>
      </c>
      <c r="D25" s="24">
        <f>C25</f>
        <v>1061521</v>
      </c>
      <c r="E25" s="100" t="str">
        <f t="shared" si="0"/>
        <v>-</v>
      </c>
      <c r="F25" s="101">
        <f t="shared" si="1"/>
        <v>1</v>
      </c>
      <c r="G25" s="1">
        <v>1061521</v>
      </c>
      <c r="H25" s="85">
        <f t="shared" si="2"/>
        <v>0</v>
      </c>
    </row>
    <row r="26" spans="1:8" ht="31.5">
      <c r="A26" s="27" t="s">
        <v>148</v>
      </c>
      <c r="B26" s="88" t="s">
        <v>178</v>
      </c>
      <c r="C26" s="24">
        <v>1060706</v>
      </c>
      <c r="D26" s="24">
        <f t="shared" si="3"/>
        <v>1060706</v>
      </c>
      <c r="E26" s="100" t="str">
        <f t="shared" si="0"/>
        <v>-</v>
      </c>
      <c r="F26" s="101">
        <f t="shared" si="1"/>
        <v>1</v>
      </c>
      <c r="G26" s="1">
        <v>1060706</v>
      </c>
      <c r="H26" s="85">
        <f t="shared" si="2"/>
        <v>0</v>
      </c>
    </row>
    <row r="27" spans="1:8" ht="31.5" customHeight="1">
      <c r="A27" s="77" t="s">
        <v>177</v>
      </c>
      <c r="B27" s="88" t="s">
        <v>180</v>
      </c>
      <c r="C27" s="24">
        <v>724</v>
      </c>
      <c r="D27" s="24">
        <f t="shared" si="3"/>
        <v>724</v>
      </c>
      <c r="E27" s="100" t="str">
        <f t="shared" si="0"/>
        <v>-</v>
      </c>
      <c r="F27" s="101">
        <f t="shared" si="1"/>
        <v>1</v>
      </c>
      <c r="G27" s="1">
        <v>724</v>
      </c>
      <c r="H27" s="85">
        <f t="shared" si="2"/>
        <v>0</v>
      </c>
    </row>
    <row r="28" spans="1:8" ht="31.5" customHeight="1">
      <c r="A28" s="77" t="s">
        <v>181</v>
      </c>
      <c r="B28" s="88" t="s">
        <v>179</v>
      </c>
      <c r="C28" s="24">
        <v>91</v>
      </c>
      <c r="D28" s="24">
        <f t="shared" si="3"/>
        <v>91</v>
      </c>
      <c r="E28" s="100" t="str">
        <f t="shared" si="0"/>
        <v>-</v>
      </c>
      <c r="F28" s="101">
        <f t="shared" si="1"/>
        <v>1</v>
      </c>
      <c r="G28" s="1">
        <v>91</v>
      </c>
      <c r="H28" s="85">
        <f t="shared" si="2"/>
        <v>0</v>
      </c>
    </row>
    <row r="29" spans="1:8" ht="33" customHeight="1">
      <c r="A29" s="30" t="s">
        <v>15</v>
      </c>
      <c r="B29" s="35" t="s">
        <v>124</v>
      </c>
      <c r="C29" s="24">
        <v>0</v>
      </c>
      <c r="D29" s="24">
        <f t="shared" si="3"/>
        <v>0</v>
      </c>
      <c r="E29" s="100" t="str">
        <f t="shared" si="0"/>
        <v>-</v>
      </c>
      <c r="F29" s="101" t="str">
        <f t="shared" si="1"/>
        <v>-</v>
      </c>
      <c r="G29" s="1">
        <v>0</v>
      </c>
      <c r="H29" s="85">
        <f t="shared" si="2"/>
        <v>0</v>
      </c>
    </row>
    <row r="30" spans="1:8" ht="33" customHeight="1">
      <c r="A30" s="30" t="s">
        <v>121</v>
      </c>
      <c r="B30" s="39" t="s">
        <v>182</v>
      </c>
      <c r="C30" s="24">
        <v>0</v>
      </c>
      <c r="D30" s="24">
        <f t="shared" si="3"/>
        <v>0</v>
      </c>
      <c r="E30" s="100" t="str">
        <f t="shared" si="0"/>
        <v>-</v>
      </c>
      <c r="F30" s="101" t="str">
        <f t="shared" si="1"/>
        <v>-</v>
      </c>
      <c r="G30" s="1">
        <v>0</v>
      </c>
      <c r="H30" s="85">
        <f t="shared" si="2"/>
        <v>0</v>
      </c>
    </row>
    <row r="31" spans="1:8" ht="31.5" customHeight="1">
      <c r="A31" s="77" t="s">
        <v>183</v>
      </c>
      <c r="B31" s="88" t="s">
        <v>199</v>
      </c>
      <c r="C31" s="24">
        <v>0</v>
      </c>
      <c r="D31" s="24">
        <f t="shared" si="3"/>
        <v>0</v>
      </c>
      <c r="E31" s="100" t="str">
        <f t="shared" si="0"/>
        <v>-</v>
      </c>
      <c r="F31" s="101" t="str">
        <f t="shared" si="1"/>
        <v>-</v>
      </c>
      <c r="G31" s="1">
        <v>0</v>
      </c>
      <c r="H31" s="85">
        <f t="shared" si="2"/>
        <v>0</v>
      </c>
    </row>
    <row r="32" spans="1:8" ht="33" customHeight="1">
      <c r="A32" s="30" t="s">
        <v>122</v>
      </c>
      <c r="B32" s="36" t="s">
        <v>125</v>
      </c>
      <c r="C32" s="24">
        <v>244127</v>
      </c>
      <c r="D32" s="24">
        <f>C32-244127</f>
        <v>0</v>
      </c>
      <c r="E32" s="100">
        <f t="shared" si="0"/>
        <v>-244127</v>
      </c>
      <c r="F32" s="101">
        <f t="shared" si="1"/>
        <v>0</v>
      </c>
      <c r="G32" s="1">
        <v>0</v>
      </c>
      <c r="H32" s="85">
        <f t="shared" si="2"/>
        <v>0</v>
      </c>
    </row>
    <row r="33" spans="1:8" ht="33" customHeight="1">
      <c r="A33" s="30" t="s">
        <v>123</v>
      </c>
      <c r="B33" s="39" t="s">
        <v>198</v>
      </c>
      <c r="C33" s="24">
        <v>44000</v>
      </c>
      <c r="D33" s="24">
        <f>C33+6906</f>
        <v>50906</v>
      </c>
      <c r="E33" s="100">
        <f t="shared" si="0"/>
        <v>6906</v>
      </c>
      <c r="F33" s="101">
        <f t="shared" si="1"/>
        <v>1.157</v>
      </c>
      <c r="G33" s="1">
        <v>50906</v>
      </c>
      <c r="H33" s="85">
        <f t="shared" si="2"/>
        <v>0</v>
      </c>
    </row>
    <row r="34" spans="1:8" s="4" customFormat="1" ht="31.5" customHeight="1">
      <c r="A34" s="31" t="s">
        <v>60</v>
      </c>
      <c r="B34" s="37" t="s">
        <v>61</v>
      </c>
      <c r="C34" s="82">
        <v>0</v>
      </c>
      <c r="D34" s="94">
        <f t="shared" si="3"/>
        <v>0</v>
      </c>
      <c r="E34" s="14" t="str">
        <f t="shared" si="0"/>
        <v>-</v>
      </c>
      <c r="F34" s="102" t="str">
        <f t="shared" si="1"/>
        <v>-</v>
      </c>
      <c r="G34" s="4">
        <v>0</v>
      </c>
      <c r="H34" s="85">
        <f t="shared" si="2"/>
        <v>0</v>
      </c>
    </row>
    <row r="35" spans="1:8" s="4" customFormat="1" ht="31.5" customHeight="1">
      <c r="A35" s="31" t="s">
        <v>59</v>
      </c>
      <c r="B35" s="37" t="s">
        <v>62</v>
      </c>
      <c r="C35" s="82">
        <v>199444</v>
      </c>
      <c r="D35" s="95">
        <f t="shared" si="3"/>
        <v>199444</v>
      </c>
      <c r="E35" s="14" t="str">
        <f t="shared" si="0"/>
        <v>-</v>
      </c>
      <c r="F35" s="102">
        <f t="shared" si="1"/>
        <v>1</v>
      </c>
      <c r="G35" s="4">
        <v>199444</v>
      </c>
      <c r="H35" s="85">
        <f t="shared" si="2"/>
        <v>0</v>
      </c>
    </row>
    <row r="36" spans="1:8" s="4" customFormat="1" ht="42.75" customHeight="1">
      <c r="A36" s="31" t="s">
        <v>184</v>
      </c>
      <c r="B36" s="37" t="s">
        <v>185</v>
      </c>
      <c r="C36" s="82">
        <f>C12+C14+C25+C31</f>
        <v>1324880</v>
      </c>
      <c r="D36" s="82">
        <f>D12+D14+D25+D31</f>
        <v>1340525</v>
      </c>
      <c r="E36" s="14">
        <f t="shared" si="0"/>
        <v>15645</v>
      </c>
      <c r="F36" s="102">
        <f t="shared" si="1"/>
        <v>1.0118</v>
      </c>
      <c r="G36" s="4">
        <v>1340525</v>
      </c>
      <c r="H36" s="85">
        <f t="shared" si="2"/>
        <v>0</v>
      </c>
    </row>
    <row r="37" spans="1:6" s="2" customFormat="1" ht="30" customHeight="1">
      <c r="A37" s="25" t="s">
        <v>16</v>
      </c>
      <c r="B37" s="44" t="s">
        <v>195</v>
      </c>
      <c r="C37" s="23">
        <f>C38+C39+C40+C48+C50+C56+C57+C55</f>
        <v>59539</v>
      </c>
      <c r="D37" s="23">
        <f>D38+D39+D40+D48+D50+D56+D57+D55</f>
        <v>59539</v>
      </c>
      <c r="E37" s="12" t="str">
        <f t="shared" si="0"/>
        <v>-</v>
      </c>
      <c r="F37" s="103">
        <f t="shared" si="1"/>
        <v>1</v>
      </c>
    </row>
    <row r="38" spans="1:6" ht="28.5" customHeight="1">
      <c r="A38" s="30" t="s">
        <v>17</v>
      </c>
      <c r="B38" s="39" t="s">
        <v>18</v>
      </c>
      <c r="C38" s="79">
        <v>2691</v>
      </c>
      <c r="D38" s="83">
        <f>C38</f>
        <v>2691</v>
      </c>
      <c r="E38" s="100" t="str">
        <f t="shared" si="0"/>
        <v>-</v>
      </c>
      <c r="F38" s="101">
        <f t="shared" si="1"/>
        <v>1</v>
      </c>
    </row>
    <row r="39" spans="1:6" ht="28.5" customHeight="1">
      <c r="A39" s="30" t="s">
        <v>19</v>
      </c>
      <c r="B39" s="39" t="s">
        <v>20</v>
      </c>
      <c r="C39" s="79">
        <v>7328</v>
      </c>
      <c r="D39" s="83">
        <f>C39</f>
        <v>7328</v>
      </c>
      <c r="E39" s="100" t="str">
        <f t="shared" si="0"/>
        <v>-</v>
      </c>
      <c r="F39" s="101">
        <f t="shared" si="1"/>
        <v>1</v>
      </c>
    </row>
    <row r="40" spans="1:6" ht="28.5" customHeight="1">
      <c r="A40" s="30" t="s">
        <v>21</v>
      </c>
      <c r="B40" s="40" t="s">
        <v>32</v>
      </c>
      <c r="C40" s="93">
        <f>C41+C43+C44+C45+C46+C47</f>
        <v>652</v>
      </c>
      <c r="D40" s="83">
        <f>D41+D43+D44+D45+D46+D47</f>
        <v>652</v>
      </c>
      <c r="E40" s="100" t="str">
        <f t="shared" si="0"/>
        <v>-</v>
      </c>
      <c r="F40" s="101">
        <f t="shared" si="1"/>
        <v>1</v>
      </c>
    </row>
    <row r="41" spans="1:6" ht="28.5" customHeight="1">
      <c r="A41" s="41" t="s">
        <v>40</v>
      </c>
      <c r="B41" s="42" t="s">
        <v>33</v>
      </c>
      <c r="C41" s="79">
        <v>90</v>
      </c>
      <c r="D41" s="83">
        <f>C41</f>
        <v>90</v>
      </c>
      <c r="E41" s="100" t="str">
        <f t="shared" si="0"/>
        <v>-</v>
      </c>
      <c r="F41" s="101">
        <f t="shared" si="1"/>
        <v>1</v>
      </c>
    </row>
    <row r="42" spans="1:6" ht="28.5" customHeight="1">
      <c r="A42" s="41" t="s">
        <v>41</v>
      </c>
      <c r="B42" s="43" t="s">
        <v>34</v>
      </c>
      <c r="C42" s="79">
        <v>90</v>
      </c>
      <c r="D42" s="83">
        <f aca="true" t="shared" si="4" ref="D42:D61">C42</f>
        <v>90</v>
      </c>
      <c r="E42" s="100" t="str">
        <f t="shared" si="0"/>
        <v>-</v>
      </c>
      <c r="F42" s="101">
        <f t="shared" si="1"/>
        <v>1</v>
      </c>
    </row>
    <row r="43" spans="1:6" ht="28.5" customHeight="1">
      <c r="A43" s="41" t="s">
        <v>42</v>
      </c>
      <c r="B43" s="42" t="s">
        <v>35</v>
      </c>
      <c r="C43" s="79">
        <v>0</v>
      </c>
      <c r="D43" s="83">
        <f t="shared" si="4"/>
        <v>0</v>
      </c>
      <c r="E43" s="100" t="str">
        <f t="shared" si="0"/>
        <v>-</v>
      </c>
      <c r="F43" s="101" t="str">
        <f t="shared" si="1"/>
        <v>-</v>
      </c>
    </row>
    <row r="44" spans="1:6" ht="28.5" customHeight="1">
      <c r="A44" s="41" t="s">
        <v>43</v>
      </c>
      <c r="B44" s="42" t="s">
        <v>36</v>
      </c>
      <c r="C44" s="79">
        <v>11</v>
      </c>
      <c r="D44" s="83">
        <f t="shared" si="4"/>
        <v>11</v>
      </c>
      <c r="E44" s="100" t="str">
        <f t="shared" si="0"/>
        <v>-</v>
      </c>
      <c r="F44" s="101">
        <f t="shared" si="1"/>
        <v>1</v>
      </c>
    </row>
    <row r="45" spans="1:6" ht="28.5" customHeight="1">
      <c r="A45" s="41" t="s">
        <v>44</v>
      </c>
      <c r="B45" s="42" t="s">
        <v>37</v>
      </c>
      <c r="C45" s="79">
        <v>0</v>
      </c>
      <c r="D45" s="83">
        <f t="shared" si="4"/>
        <v>0</v>
      </c>
      <c r="E45" s="100" t="str">
        <f t="shared" si="0"/>
        <v>-</v>
      </c>
      <c r="F45" s="101" t="str">
        <f t="shared" si="1"/>
        <v>-</v>
      </c>
    </row>
    <row r="46" spans="1:6" ht="28.5" customHeight="1">
      <c r="A46" s="41" t="s">
        <v>45</v>
      </c>
      <c r="B46" s="42" t="s">
        <v>38</v>
      </c>
      <c r="C46" s="79">
        <v>528</v>
      </c>
      <c r="D46" s="83">
        <f t="shared" si="4"/>
        <v>528</v>
      </c>
      <c r="E46" s="100" t="str">
        <f t="shared" si="0"/>
        <v>-</v>
      </c>
      <c r="F46" s="101">
        <f t="shared" si="1"/>
        <v>1</v>
      </c>
    </row>
    <row r="47" spans="1:6" ht="28.5" customHeight="1">
      <c r="A47" s="41" t="s">
        <v>46</v>
      </c>
      <c r="B47" s="42" t="s">
        <v>39</v>
      </c>
      <c r="C47" s="79">
        <v>23</v>
      </c>
      <c r="D47" s="83">
        <f>C47</f>
        <v>23</v>
      </c>
      <c r="E47" s="100" t="str">
        <f t="shared" si="0"/>
        <v>-</v>
      </c>
      <c r="F47" s="101">
        <f t="shared" si="1"/>
        <v>1</v>
      </c>
    </row>
    <row r="48" spans="1:6" ht="28.5" customHeight="1">
      <c r="A48" s="30" t="s">
        <v>22</v>
      </c>
      <c r="B48" s="39" t="s">
        <v>186</v>
      </c>
      <c r="C48" s="79">
        <v>36086</v>
      </c>
      <c r="D48" s="83">
        <f>C48</f>
        <v>36086</v>
      </c>
      <c r="E48" s="100" t="str">
        <f t="shared" si="0"/>
        <v>-</v>
      </c>
      <c r="F48" s="101">
        <f t="shared" si="1"/>
        <v>1</v>
      </c>
    </row>
    <row r="49" spans="1:6" ht="28.5" customHeight="1">
      <c r="A49" s="41" t="s">
        <v>187</v>
      </c>
      <c r="B49" s="42" t="s">
        <v>188</v>
      </c>
      <c r="C49" s="79">
        <v>250</v>
      </c>
      <c r="D49" s="83">
        <f>C49</f>
        <v>250</v>
      </c>
      <c r="E49" s="100" t="str">
        <f t="shared" si="0"/>
        <v>-</v>
      </c>
      <c r="F49" s="101">
        <f t="shared" si="1"/>
        <v>1</v>
      </c>
    </row>
    <row r="50" spans="1:6" ht="28.5" customHeight="1">
      <c r="A50" s="30" t="s">
        <v>23</v>
      </c>
      <c r="B50" s="40" t="s">
        <v>55</v>
      </c>
      <c r="C50" s="93">
        <f>C51+C52+C53+C54</f>
        <v>7997</v>
      </c>
      <c r="D50" s="83">
        <f>D51+D52+D53+D54</f>
        <v>7997</v>
      </c>
      <c r="E50" s="100" t="str">
        <f t="shared" si="0"/>
        <v>-</v>
      </c>
      <c r="F50" s="101">
        <f t="shared" si="1"/>
        <v>1</v>
      </c>
    </row>
    <row r="51" spans="1:6" ht="28.5" customHeight="1">
      <c r="A51" s="41" t="s">
        <v>51</v>
      </c>
      <c r="B51" s="42" t="s">
        <v>47</v>
      </c>
      <c r="C51" s="83">
        <v>6203</v>
      </c>
      <c r="D51" s="83">
        <f t="shared" si="4"/>
        <v>6203</v>
      </c>
      <c r="E51" s="100" t="str">
        <f t="shared" si="0"/>
        <v>-</v>
      </c>
      <c r="F51" s="101">
        <f t="shared" si="1"/>
        <v>1</v>
      </c>
    </row>
    <row r="52" spans="1:6" ht="28.5" customHeight="1">
      <c r="A52" s="41" t="s">
        <v>52</v>
      </c>
      <c r="B52" s="42" t="s">
        <v>48</v>
      </c>
      <c r="C52" s="83">
        <v>884</v>
      </c>
      <c r="D52" s="83">
        <f t="shared" si="4"/>
        <v>884</v>
      </c>
      <c r="E52" s="100" t="str">
        <f t="shared" si="0"/>
        <v>-</v>
      </c>
      <c r="F52" s="101">
        <f t="shared" si="1"/>
        <v>1</v>
      </c>
    </row>
    <row r="53" spans="1:6" ht="28.5" customHeight="1">
      <c r="A53" s="41" t="s">
        <v>53</v>
      </c>
      <c r="B53" s="42" t="s">
        <v>49</v>
      </c>
      <c r="C53" s="83">
        <v>0</v>
      </c>
      <c r="D53" s="83">
        <f t="shared" si="4"/>
        <v>0</v>
      </c>
      <c r="E53" s="100" t="str">
        <f t="shared" si="0"/>
        <v>-</v>
      </c>
      <c r="F53" s="101" t="str">
        <f t="shared" si="1"/>
        <v>-</v>
      </c>
    </row>
    <row r="54" spans="1:6" ht="28.5" customHeight="1">
      <c r="A54" s="41" t="s">
        <v>54</v>
      </c>
      <c r="B54" s="42" t="s">
        <v>50</v>
      </c>
      <c r="C54" s="83">
        <v>910</v>
      </c>
      <c r="D54" s="83">
        <f t="shared" si="4"/>
        <v>910</v>
      </c>
      <c r="E54" s="100" t="str">
        <f t="shared" si="0"/>
        <v>-</v>
      </c>
      <c r="F54" s="101">
        <f t="shared" si="1"/>
        <v>1</v>
      </c>
    </row>
    <row r="55" spans="1:6" ht="28.5" customHeight="1">
      <c r="A55" s="30" t="s">
        <v>24</v>
      </c>
      <c r="B55" s="39" t="s">
        <v>25</v>
      </c>
      <c r="C55" s="79">
        <v>0</v>
      </c>
      <c r="D55" s="83">
        <f>C55</f>
        <v>0</v>
      </c>
      <c r="E55" s="100" t="str">
        <f t="shared" si="0"/>
        <v>-</v>
      </c>
      <c r="F55" s="101" t="str">
        <f t="shared" si="1"/>
        <v>-</v>
      </c>
    </row>
    <row r="56" spans="1:6" ht="28.5" customHeight="1">
      <c r="A56" s="30" t="s">
        <v>26</v>
      </c>
      <c r="B56" s="39" t="s">
        <v>189</v>
      </c>
      <c r="C56" s="79">
        <v>4395</v>
      </c>
      <c r="D56" s="83">
        <f>C56</f>
        <v>4395</v>
      </c>
      <c r="E56" s="100" t="str">
        <f t="shared" si="0"/>
        <v>-</v>
      </c>
      <c r="F56" s="104">
        <f t="shared" si="1"/>
        <v>1</v>
      </c>
    </row>
    <row r="57" spans="1:6" ht="28.5" customHeight="1">
      <c r="A57" s="30" t="s">
        <v>27</v>
      </c>
      <c r="B57" s="39" t="s">
        <v>28</v>
      </c>
      <c r="C57" s="79">
        <v>390</v>
      </c>
      <c r="D57" s="83">
        <f>C57</f>
        <v>390</v>
      </c>
      <c r="E57" s="100" t="str">
        <f t="shared" si="0"/>
        <v>-</v>
      </c>
      <c r="F57" s="101">
        <f t="shared" si="1"/>
        <v>1</v>
      </c>
    </row>
    <row r="58" spans="1:6" s="2" customFormat="1" ht="30" customHeight="1">
      <c r="A58" s="32" t="s">
        <v>29</v>
      </c>
      <c r="B58" s="44" t="s">
        <v>190</v>
      </c>
      <c r="C58" s="81">
        <f>C59+C60+C61+C62</f>
        <v>6435</v>
      </c>
      <c r="D58" s="26">
        <f>D59+D60+D61+D62</f>
        <v>6435</v>
      </c>
      <c r="E58" s="12" t="str">
        <f t="shared" si="0"/>
        <v>-</v>
      </c>
      <c r="F58" s="105">
        <f t="shared" si="1"/>
        <v>1</v>
      </c>
    </row>
    <row r="59" spans="1:6" ht="42" customHeight="1">
      <c r="A59" s="30" t="s">
        <v>104</v>
      </c>
      <c r="B59" s="39" t="s">
        <v>126</v>
      </c>
      <c r="C59" s="79">
        <v>450</v>
      </c>
      <c r="D59" s="83">
        <f t="shared" si="4"/>
        <v>450</v>
      </c>
      <c r="E59" s="75" t="str">
        <f t="shared" si="0"/>
        <v>-</v>
      </c>
      <c r="F59" s="101">
        <f t="shared" si="1"/>
        <v>1</v>
      </c>
    </row>
    <row r="60" spans="1:6" ht="31.5" customHeight="1">
      <c r="A60" s="30" t="s">
        <v>30</v>
      </c>
      <c r="B60" s="39" t="s">
        <v>57</v>
      </c>
      <c r="C60" s="79">
        <v>5385</v>
      </c>
      <c r="D60" s="83">
        <f t="shared" si="4"/>
        <v>5385</v>
      </c>
      <c r="E60" s="75" t="str">
        <f t="shared" si="0"/>
        <v>-</v>
      </c>
      <c r="F60" s="101">
        <f t="shared" si="1"/>
        <v>1</v>
      </c>
    </row>
    <row r="61" spans="1:6" ht="31.5" customHeight="1">
      <c r="A61" s="30" t="s">
        <v>31</v>
      </c>
      <c r="B61" s="39" t="s">
        <v>106</v>
      </c>
      <c r="C61" s="79">
        <v>0</v>
      </c>
      <c r="D61" s="83">
        <f t="shared" si="4"/>
        <v>0</v>
      </c>
      <c r="E61" s="75" t="str">
        <f t="shared" si="0"/>
        <v>-</v>
      </c>
      <c r="F61" s="101" t="str">
        <f t="shared" si="1"/>
        <v>-</v>
      </c>
    </row>
    <row r="62" spans="1:6" ht="31.5" customHeight="1">
      <c r="A62" s="30" t="s">
        <v>105</v>
      </c>
      <c r="B62" s="39" t="s">
        <v>107</v>
      </c>
      <c r="C62" s="79">
        <v>600</v>
      </c>
      <c r="D62" s="83">
        <f>C62</f>
        <v>600</v>
      </c>
      <c r="E62" s="75" t="str">
        <f t="shared" si="0"/>
        <v>-</v>
      </c>
      <c r="F62" s="101">
        <f t="shared" si="1"/>
        <v>1</v>
      </c>
    </row>
    <row r="63" spans="1:6" ht="32.25" customHeight="1">
      <c r="A63" s="32" t="s">
        <v>112</v>
      </c>
      <c r="B63" s="44" t="s">
        <v>133</v>
      </c>
      <c r="C63" s="81">
        <v>3066</v>
      </c>
      <c r="D63" s="26">
        <f>C63</f>
        <v>3066</v>
      </c>
      <c r="E63" s="12" t="str">
        <f t="shared" si="0"/>
        <v>-</v>
      </c>
      <c r="F63" s="105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63"/>
  <sheetViews>
    <sheetView showGridLines="0" view="pageBreakPreview" zoomScale="55" zoomScaleNormal="70" zoomScaleSheetLayoutView="55" zoomScalePageLayoutView="0" workbookViewId="0" topLeftCell="A1">
      <pane ySplit="7" topLeftCell="A26" activePane="bottomLeft" state="frozen"/>
      <selection pane="topLeft" activeCell="A2" sqref="A2:B2"/>
      <selection pane="bottomLeft" activeCell="A2" sqref="A2:B2"/>
    </sheetView>
  </sheetViews>
  <sheetFormatPr defaultColWidth="9.00390625" defaultRowHeight="12.75"/>
  <cols>
    <col min="1" max="1" width="9.125" style="1" customWidth="1"/>
    <col min="2" max="2" width="125.875" style="1" customWidth="1"/>
    <col min="3" max="3" width="25.75390625" style="1" customWidth="1"/>
    <col min="4" max="4" width="26.875" style="1" customWidth="1"/>
    <col min="5" max="6" width="20.75390625" style="1" customWidth="1"/>
    <col min="7" max="7" width="9.125" style="1" customWidth="1"/>
    <col min="8" max="8" width="9.375" style="1" bestFit="1" customWidth="1"/>
    <col min="9" max="16384" width="9.125" style="1" customWidth="1"/>
  </cols>
  <sheetData>
    <row r="1" spans="1:6" s="47" customFormat="1" ht="54.75" customHeight="1">
      <c r="A1" s="119" t="str">
        <f>NFZ!A1</f>
        <v>URUCHOMIENIE REZERWY NA KOSZTY ŚWIADCZEŃ OPIEKI ZDROWOTNEJ W RAMACH MIGRACJI UBEZPIECZONYCH Z DNIA 30 SIERPNIA 2012 R. W PLANIE FINANSOWYM NARODOWEGO FUNDUSZU ZDROWIA NA 2013 ROK</v>
      </c>
      <c r="B1" s="119"/>
      <c r="C1" s="119"/>
      <c r="D1" s="119"/>
      <c r="E1" s="119"/>
      <c r="F1" s="119"/>
    </row>
    <row r="2" spans="1:3" s="49" customFormat="1" ht="33" customHeight="1">
      <c r="A2" s="87" t="s">
        <v>75</v>
      </c>
      <c r="B2" s="87"/>
      <c r="C2" s="96"/>
    </row>
    <row r="3" spans="1:6" ht="33" customHeight="1">
      <c r="A3" s="7"/>
      <c r="B3" s="8"/>
      <c r="C3" s="86"/>
      <c r="D3" s="86"/>
      <c r="E3" s="86" t="s">
        <v>166</v>
      </c>
      <c r="F3" s="9"/>
    </row>
    <row r="4" spans="1:6" s="5" customFormat="1" ht="45" customHeight="1">
      <c r="A4" s="114" t="s">
        <v>137</v>
      </c>
      <c r="B4" s="114" t="s">
        <v>56</v>
      </c>
      <c r="C4" s="115" t="s">
        <v>206</v>
      </c>
      <c r="D4" s="115" t="s">
        <v>203</v>
      </c>
      <c r="E4" s="118" t="s">
        <v>204</v>
      </c>
      <c r="F4" s="118" t="s">
        <v>205</v>
      </c>
    </row>
    <row r="5" spans="1:6" s="5" customFormat="1" ht="45" customHeight="1">
      <c r="A5" s="114"/>
      <c r="B5" s="114"/>
      <c r="C5" s="116"/>
      <c r="D5" s="116"/>
      <c r="E5" s="118"/>
      <c r="F5" s="118"/>
    </row>
    <row r="6" spans="1:6" s="3" customFormat="1" ht="14.25">
      <c r="A6" s="46">
        <v>1</v>
      </c>
      <c r="B6" s="51">
        <v>2</v>
      </c>
      <c r="C6" s="46">
        <v>3</v>
      </c>
      <c r="D6" s="51">
        <v>4</v>
      </c>
      <c r="E6" s="46">
        <v>5</v>
      </c>
      <c r="F6" s="51">
        <v>6</v>
      </c>
    </row>
    <row r="7" spans="1:6" s="2" customFormat="1" ht="30" customHeight="1">
      <c r="A7" s="22" t="s">
        <v>0</v>
      </c>
      <c r="B7" s="38" t="s">
        <v>174</v>
      </c>
      <c r="C7" s="97">
        <f>C8+C9+C10+C15+C16+C17+C18+C19+C20+C21+C22+C23+C24+C25+C29+C30+C32+C33</f>
        <v>2131241</v>
      </c>
      <c r="D7" s="15">
        <f>D8+D9+D10+D15+D16+D17+D18+D19+D20+D21+D22+D23+D24+D25+D29+D30+D32+D33</f>
        <v>2131241</v>
      </c>
      <c r="E7" s="12" t="str">
        <f>IF(C7=D7,"-",D7-C7)</f>
        <v>-</v>
      </c>
      <c r="F7" s="99">
        <f>IF(C7=0,"-",D7/C7)</f>
        <v>1</v>
      </c>
    </row>
    <row r="8" spans="1:8" ht="33" customHeight="1">
      <c r="A8" s="28" t="s">
        <v>1</v>
      </c>
      <c r="B8" s="76" t="s">
        <v>138</v>
      </c>
      <c r="C8" s="79">
        <v>254680</v>
      </c>
      <c r="D8" s="24">
        <f>C8</f>
        <v>254680</v>
      </c>
      <c r="E8" s="100" t="str">
        <f aca="true" t="shared" si="0" ref="E8:E63">IF(C8=D8,"-",D8-C8)</f>
        <v>-</v>
      </c>
      <c r="F8" s="101">
        <f aca="true" t="shared" si="1" ref="F8:F63">IF(C8=0,"-",D8/C8)</f>
        <v>1</v>
      </c>
      <c r="G8" s="1">
        <v>254680</v>
      </c>
      <c r="H8" s="85">
        <f>D8-G8</f>
        <v>0</v>
      </c>
    </row>
    <row r="9" spans="1:8" ht="33" customHeight="1">
      <c r="A9" s="28" t="s">
        <v>2</v>
      </c>
      <c r="B9" s="76" t="s">
        <v>139</v>
      </c>
      <c r="C9" s="79">
        <v>140872</v>
      </c>
      <c r="D9" s="24">
        <f>C9+10700</f>
        <v>151572</v>
      </c>
      <c r="E9" s="100">
        <f t="shared" si="0"/>
        <v>10700</v>
      </c>
      <c r="F9" s="101">
        <f t="shared" si="1"/>
        <v>1.076</v>
      </c>
      <c r="G9" s="1">
        <v>151572</v>
      </c>
      <c r="H9" s="85">
        <f aca="true" t="shared" si="2" ref="H9:H36">D9-G9</f>
        <v>0</v>
      </c>
    </row>
    <row r="10" spans="1:8" ht="33" customHeight="1">
      <c r="A10" s="28" t="s">
        <v>3</v>
      </c>
      <c r="B10" s="76" t="s">
        <v>136</v>
      </c>
      <c r="C10" s="79">
        <v>847163</v>
      </c>
      <c r="D10" s="24">
        <f>C10+134200+843+9595+3808+3343</f>
        <v>998952</v>
      </c>
      <c r="E10" s="100">
        <f t="shared" si="0"/>
        <v>151789</v>
      </c>
      <c r="F10" s="101">
        <f t="shared" si="1"/>
        <v>1.1792</v>
      </c>
      <c r="G10" s="1">
        <v>998952</v>
      </c>
      <c r="H10" s="85">
        <f t="shared" si="2"/>
        <v>0</v>
      </c>
    </row>
    <row r="11" spans="1:8" ht="31.5" customHeight="1">
      <c r="A11" s="77" t="s">
        <v>58</v>
      </c>
      <c r="B11" s="88" t="s">
        <v>167</v>
      </c>
      <c r="C11" s="79">
        <v>63280</v>
      </c>
      <c r="D11" s="24">
        <f>C11+843+9595</f>
        <v>73718</v>
      </c>
      <c r="E11" s="100">
        <f t="shared" si="0"/>
        <v>10438</v>
      </c>
      <c r="F11" s="101">
        <f t="shared" si="1"/>
        <v>1.1649</v>
      </c>
      <c r="G11" s="1">
        <v>73718</v>
      </c>
      <c r="H11" s="85">
        <f t="shared" si="2"/>
        <v>0</v>
      </c>
    </row>
    <row r="12" spans="1:8" ht="31.5" customHeight="1">
      <c r="A12" s="77" t="s">
        <v>168</v>
      </c>
      <c r="B12" s="88" t="s">
        <v>171</v>
      </c>
      <c r="C12" s="79">
        <v>56634</v>
      </c>
      <c r="D12" s="24">
        <f>C12+9595</f>
        <v>66229</v>
      </c>
      <c r="E12" s="100">
        <f t="shared" si="0"/>
        <v>9595</v>
      </c>
      <c r="F12" s="101">
        <f t="shared" si="1"/>
        <v>1.1694</v>
      </c>
      <c r="G12" s="1">
        <v>66229</v>
      </c>
      <c r="H12" s="85">
        <f t="shared" si="2"/>
        <v>0</v>
      </c>
    </row>
    <row r="13" spans="1:8" ht="31.5" customHeight="1">
      <c r="A13" s="77" t="s">
        <v>169</v>
      </c>
      <c r="B13" s="88" t="s">
        <v>172</v>
      </c>
      <c r="C13" s="79">
        <v>38021</v>
      </c>
      <c r="D13" s="24">
        <f>C13+3808+3343</f>
        <v>45172</v>
      </c>
      <c r="E13" s="100">
        <f t="shared" si="0"/>
        <v>7151</v>
      </c>
      <c r="F13" s="101">
        <f t="shared" si="1"/>
        <v>1.1881</v>
      </c>
      <c r="G13" s="1">
        <v>45172</v>
      </c>
      <c r="H13" s="85">
        <f t="shared" si="2"/>
        <v>0</v>
      </c>
    </row>
    <row r="14" spans="1:8" ht="31.5" customHeight="1">
      <c r="A14" s="77" t="s">
        <v>170</v>
      </c>
      <c r="B14" s="88" t="s">
        <v>173</v>
      </c>
      <c r="C14" s="79">
        <v>15481</v>
      </c>
      <c r="D14" s="24">
        <f>C14+3343</f>
        <v>18824</v>
      </c>
      <c r="E14" s="100">
        <f t="shared" si="0"/>
        <v>3343</v>
      </c>
      <c r="F14" s="101">
        <f t="shared" si="1"/>
        <v>1.2159</v>
      </c>
      <c r="G14" s="1">
        <v>18824</v>
      </c>
      <c r="H14" s="85">
        <f t="shared" si="2"/>
        <v>0</v>
      </c>
    </row>
    <row r="15" spans="1:8" ht="33" customHeight="1">
      <c r="A15" s="28" t="s">
        <v>4</v>
      </c>
      <c r="B15" s="76" t="s">
        <v>144</v>
      </c>
      <c r="C15" s="79">
        <v>60367</v>
      </c>
      <c r="D15" s="24">
        <f>C15+7990</f>
        <v>68357</v>
      </c>
      <c r="E15" s="100">
        <f t="shared" si="0"/>
        <v>7990</v>
      </c>
      <c r="F15" s="101">
        <f t="shared" si="1"/>
        <v>1.1324</v>
      </c>
      <c r="G15" s="1">
        <v>68357</v>
      </c>
      <c r="H15" s="85">
        <f t="shared" si="2"/>
        <v>0</v>
      </c>
    </row>
    <row r="16" spans="1:8" ht="33" customHeight="1">
      <c r="A16" s="28" t="s">
        <v>5</v>
      </c>
      <c r="B16" s="76" t="s">
        <v>140</v>
      </c>
      <c r="C16" s="79">
        <v>63459</v>
      </c>
      <c r="D16" s="24">
        <f>C16+5360</f>
        <v>68819</v>
      </c>
      <c r="E16" s="100">
        <f t="shared" si="0"/>
        <v>5360</v>
      </c>
      <c r="F16" s="101">
        <f t="shared" si="1"/>
        <v>1.0845</v>
      </c>
      <c r="G16" s="1">
        <v>68819</v>
      </c>
      <c r="H16" s="85">
        <f t="shared" si="2"/>
        <v>0</v>
      </c>
    </row>
    <row r="17" spans="1:8" ht="33" customHeight="1">
      <c r="A17" s="28" t="s">
        <v>6</v>
      </c>
      <c r="B17" s="76" t="s">
        <v>146</v>
      </c>
      <c r="C17" s="79">
        <v>38778</v>
      </c>
      <c r="D17" s="24">
        <f>C17+4526</f>
        <v>43304</v>
      </c>
      <c r="E17" s="100">
        <f t="shared" si="0"/>
        <v>4526</v>
      </c>
      <c r="F17" s="101">
        <f t="shared" si="1"/>
        <v>1.1167</v>
      </c>
      <c r="G17" s="1">
        <v>43304</v>
      </c>
      <c r="H17" s="85">
        <f t="shared" si="2"/>
        <v>0</v>
      </c>
    </row>
    <row r="18" spans="1:8" ht="33" customHeight="1">
      <c r="A18" s="28" t="s">
        <v>7</v>
      </c>
      <c r="B18" s="76" t="s">
        <v>145</v>
      </c>
      <c r="C18" s="79">
        <v>10849</v>
      </c>
      <c r="D18" s="24">
        <f>C18+952</f>
        <v>11801</v>
      </c>
      <c r="E18" s="100">
        <f t="shared" si="0"/>
        <v>952</v>
      </c>
      <c r="F18" s="101">
        <f t="shared" si="1"/>
        <v>1.0878</v>
      </c>
      <c r="G18" s="1">
        <v>11801</v>
      </c>
      <c r="H18" s="85">
        <f t="shared" si="2"/>
        <v>0</v>
      </c>
    </row>
    <row r="19" spans="1:8" ht="33" customHeight="1">
      <c r="A19" s="28" t="s">
        <v>8</v>
      </c>
      <c r="B19" s="76" t="s">
        <v>141</v>
      </c>
      <c r="C19" s="79">
        <v>59740</v>
      </c>
      <c r="D19" s="24">
        <f>C19+3430</f>
        <v>63170</v>
      </c>
      <c r="E19" s="100">
        <f t="shared" si="0"/>
        <v>3430</v>
      </c>
      <c r="F19" s="101">
        <f t="shared" si="1"/>
        <v>1.0574</v>
      </c>
      <c r="G19" s="1">
        <v>63170</v>
      </c>
      <c r="H19" s="85">
        <f t="shared" si="2"/>
        <v>0</v>
      </c>
    </row>
    <row r="20" spans="1:8" ht="33" customHeight="1">
      <c r="A20" s="28" t="s">
        <v>9</v>
      </c>
      <c r="B20" s="76" t="s">
        <v>142</v>
      </c>
      <c r="C20" s="79">
        <v>25000</v>
      </c>
      <c r="D20" s="24">
        <f aca="true" t="shared" si="3" ref="D20:D35">C20</f>
        <v>25000</v>
      </c>
      <c r="E20" s="100" t="str">
        <f t="shared" si="0"/>
        <v>-</v>
      </c>
      <c r="F20" s="101">
        <f t="shared" si="1"/>
        <v>1</v>
      </c>
      <c r="G20" s="1">
        <v>25000</v>
      </c>
      <c r="H20" s="85">
        <f t="shared" si="2"/>
        <v>0</v>
      </c>
    </row>
    <row r="21" spans="1:8" ht="33" customHeight="1">
      <c r="A21" s="28" t="s">
        <v>10</v>
      </c>
      <c r="B21" s="76" t="s">
        <v>147</v>
      </c>
      <c r="C21" s="79">
        <v>1400</v>
      </c>
      <c r="D21" s="24">
        <f t="shared" si="3"/>
        <v>1400</v>
      </c>
      <c r="E21" s="100" t="str">
        <f t="shared" si="0"/>
        <v>-</v>
      </c>
      <c r="F21" s="101">
        <f t="shared" si="1"/>
        <v>1</v>
      </c>
      <c r="G21" s="1">
        <v>1400</v>
      </c>
      <c r="H21" s="85">
        <f t="shared" si="2"/>
        <v>0</v>
      </c>
    </row>
    <row r="22" spans="1:8" ht="46.5" customHeight="1">
      <c r="A22" s="28" t="s">
        <v>11</v>
      </c>
      <c r="B22" s="76" t="s">
        <v>143</v>
      </c>
      <c r="C22" s="79">
        <v>5104</v>
      </c>
      <c r="D22" s="24">
        <f>C22+258</f>
        <v>5362</v>
      </c>
      <c r="E22" s="100">
        <f t="shared" si="0"/>
        <v>258</v>
      </c>
      <c r="F22" s="101">
        <f t="shared" si="1"/>
        <v>1.0505</v>
      </c>
      <c r="G22" s="1">
        <v>5362</v>
      </c>
      <c r="H22" s="85">
        <f t="shared" si="2"/>
        <v>0</v>
      </c>
    </row>
    <row r="23" spans="1:8" ht="33" customHeight="1">
      <c r="A23" s="28" t="s">
        <v>12</v>
      </c>
      <c r="B23" s="76" t="s">
        <v>197</v>
      </c>
      <c r="C23" s="79">
        <v>42483</v>
      </c>
      <c r="D23" s="24">
        <f>C23+5711</f>
        <v>48194</v>
      </c>
      <c r="E23" s="100">
        <f t="shared" si="0"/>
        <v>5711</v>
      </c>
      <c r="F23" s="101">
        <f t="shared" si="1"/>
        <v>1.1344</v>
      </c>
      <c r="G23" s="1">
        <v>48194</v>
      </c>
      <c r="H23" s="85">
        <f t="shared" si="2"/>
        <v>0</v>
      </c>
    </row>
    <row r="24" spans="1:8" ht="33" customHeight="1">
      <c r="A24" s="28" t="s">
        <v>13</v>
      </c>
      <c r="B24" s="76" t="s">
        <v>175</v>
      </c>
      <c r="C24" s="79">
        <v>30039</v>
      </c>
      <c r="D24" s="24">
        <f t="shared" si="3"/>
        <v>30039</v>
      </c>
      <c r="E24" s="100" t="str">
        <f t="shared" si="0"/>
        <v>-</v>
      </c>
      <c r="F24" s="101">
        <f t="shared" si="1"/>
        <v>1</v>
      </c>
      <c r="G24" s="1">
        <v>30039</v>
      </c>
      <c r="H24" s="85">
        <f t="shared" si="2"/>
        <v>0</v>
      </c>
    </row>
    <row r="25" spans="1:8" ht="33" customHeight="1">
      <c r="A25" s="29" t="s">
        <v>14</v>
      </c>
      <c r="B25" s="76" t="s">
        <v>176</v>
      </c>
      <c r="C25" s="79">
        <v>276730</v>
      </c>
      <c r="D25" s="24">
        <f>C25</f>
        <v>276730</v>
      </c>
      <c r="E25" s="100" t="str">
        <f t="shared" si="0"/>
        <v>-</v>
      </c>
      <c r="F25" s="101">
        <f t="shared" si="1"/>
        <v>1</v>
      </c>
      <c r="G25" s="1">
        <v>276730</v>
      </c>
      <c r="H25" s="85">
        <f t="shared" si="2"/>
        <v>0</v>
      </c>
    </row>
    <row r="26" spans="1:8" ht="31.5">
      <c r="A26" s="27" t="s">
        <v>148</v>
      </c>
      <c r="B26" s="88" t="s">
        <v>178</v>
      </c>
      <c r="C26" s="79">
        <v>276508</v>
      </c>
      <c r="D26" s="24">
        <f t="shared" si="3"/>
        <v>276508</v>
      </c>
      <c r="E26" s="100" t="str">
        <f t="shared" si="0"/>
        <v>-</v>
      </c>
      <c r="F26" s="101">
        <f t="shared" si="1"/>
        <v>1</v>
      </c>
      <c r="G26" s="1">
        <v>276508</v>
      </c>
      <c r="H26" s="85">
        <f t="shared" si="2"/>
        <v>0</v>
      </c>
    </row>
    <row r="27" spans="1:8" ht="31.5" customHeight="1">
      <c r="A27" s="77" t="s">
        <v>177</v>
      </c>
      <c r="B27" s="88" t="s">
        <v>180</v>
      </c>
      <c r="C27" s="79">
        <v>88</v>
      </c>
      <c r="D27" s="24">
        <f t="shared" si="3"/>
        <v>88</v>
      </c>
      <c r="E27" s="100" t="str">
        <f t="shared" si="0"/>
        <v>-</v>
      </c>
      <c r="F27" s="101">
        <f t="shared" si="1"/>
        <v>1</v>
      </c>
      <c r="G27" s="1">
        <v>88</v>
      </c>
      <c r="H27" s="85">
        <f t="shared" si="2"/>
        <v>0</v>
      </c>
    </row>
    <row r="28" spans="1:8" ht="31.5" customHeight="1">
      <c r="A28" s="77" t="s">
        <v>181</v>
      </c>
      <c r="B28" s="88" t="s">
        <v>179</v>
      </c>
      <c r="C28" s="79">
        <v>134</v>
      </c>
      <c r="D28" s="24">
        <f t="shared" si="3"/>
        <v>134</v>
      </c>
      <c r="E28" s="100" t="str">
        <f t="shared" si="0"/>
        <v>-</v>
      </c>
      <c r="F28" s="101">
        <f t="shared" si="1"/>
        <v>1</v>
      </c>
      <c r="G28" s="1">
        <v>134</v>
      </c>
      <c r="H28" s="85">
        <f t="shared" si="2"/>
        <v>0</v>
      </c>
    </row>
    <row r="29" spans="1:8" ht="33" customHeight="1">
      <c r="A29" s="30" t="s">
        <v>15</v>
      </c>
      <c r="B29" s="35" t="s">
        <v>124</v>
      </c>
      <c r="C29" s="79">
        <v>0</v>
      </c>
      <c r="D29" s="24">
        <f t="shared" si="3"/>
        <v>0</v>
      </c>
      <c r="E29" s="100" t="str">
        <f t="shared" si="0"/>
        <v>-</v>
      </c>
      <c r="F29" s="101" t="str">
        <f t="shared" si="1"/>
        <v>-</v>
      </c>
      <c r="G29" s="1">
        <v>0</v>
      </c>
      <c r="H29" s="85">
        <f t="shared" si="2"/>
        <v>0</v>
      </c>
    </row>
    <row r="30" spans="1:8" ht="33" customHeight="1">
      <c r="A30" s="30" t="s">
        <v>121</v>
      </c>
      <c r="B30" s="39" t="s">
        <v>182</v>
      </c>
      <c r="C30" s="79">
        <v>0</v>
      </c>
      <c r="D30" s="24">
        <f t="shared" si="3"/>
        <v>0</v>
      </c>
      <c r="E30" s="100" t="str">
        <f t="shared" si="0"/>
        <v>-</v>
      </c>
      <c r="F30" s="101" t="str">
        <f t="shared" si="1"/>
        <v>-</v>
      </c>
      <c r="G30" s="1">
        <v>0</v>
      </c>
      <c r="H30" s="85">
        <f t="shared" si="2"/>
        <v>0</v>
      </c>
    </row>
    <row r="31" spans="1:8" ht="31.5" customHeight="1">
      <c r="A31" s="77" t="s">
        <v>183</v>
      </c>
      <c r="B31" s="88" t="s">
        <v>199</v>
      </c>
      <c r="C31" s="79">
        <v>0</v>
      </c>
      <c r="D31" s="24">
        <f t="shared" si="3"/>
        <v>0</v>
      </c>
      <c r="E31" s="100" t="str">
        <f t="shared" si="0"/>
        <v>-</v>
      </c>
      <c r="F31" s="101" t="str">
        <f t="shared" si="1"/>
        <v>-</v>
      </c>
      <c r="G31" s="1">
        <v>0</v>
      </c>
      <c r="H31" s="85">
        <f t="shared" si="2"/>
        <v>0</v>
      </c>
    </row>
    <row r="32" spans="1:8" ht="33" customHeight="1">
      <c r="A32" s="30" t="s">
        <v>122</v>
      </c>
      <c r="B32" s="36" t="s">
        <v>125</v>
      </c>
      <c r="C32" s="79">
        <v>195861</v>
      </c>
      <c r="D32" s="24">
        <f>C32-195861</f>
        <v>0</v>
      </c>
      <c r="E32" s="100">
        <f t="shared" si="0"/>
        <v>-195861</v>
      </c>
      <c r="F32" s="101">
        <f t="shared" si="1"/>
        <v>0</v>
      </c>
      <c r="G32" s="1">
        <v>0</v>
      </c>
      <c r="H32" s="85">
        <f t="shared" si="2"/>
        <v>0</v>
      </c>
    </row>
    <row r="33" spans="1:8" ht="33" customHeight="1">
      <c r="A33" s="30" t="s">
        <v>123</v>
      </c>
      <c r="B33" s="39" t="s">
        <v>198</v>
      </c>
      <c r="C33" s="79">
        <v>78716</v>
      </c>
      <c r="D33" s="24">
        <f>C33+5145</f>
        <v>83861</v>
      </c>
      <c r="E33" s="100">
        <f t="shared" si="0"/>
        <v>5145</v>
      </c>
      <c r="F33" s="101">
        <f t="shared" si="1"/>
        <v>1.0654</v>
      </c>
      <c r="G33" s="1">
        <v>83861</v>
      </c>
      <c r="H33" s="85">
        <f t="shared" si="2"/>
        <v>0</v>
      </c>
    </row>
    <row r="34" spans="1:8" s="4" customFormat="1" ht="31.5" customHeight="1">
      <c r="A34" s="31" t="s">
        <v>60</v>
      </c>
      <c r="B34" s="37" t="s">
        <v>61</v>
      </c>
      <c r="C34" s="82">
        <v>0</v>
      </c>
      <c r="D34" s="94">
        <f t="shared" si="3"/>
        <v>0</v>
      </c>
      <c r="E34" s="14" t="str">
        <f t="shared" si="0"/>
        <v>-</v>
      </c>
      <c r="F34" s="102" t="str">
        <f t="shared" si="1"/>
        <v>-</v>
      </c>
      <c r="G34" s="4">
        <v>0</v>
      </c>
      <c r="H34" s="85">
        <f t="shared" si="2"/>
        <v>0</v>
      </c>
    </row>
    <row r="35" spans="1:8" s="4" customFormat="1" ht="31.5" customHeight="1">
      <c r="A35" s="31" t="s">
        <v>59</v>
      </c>
      <c r="B35" s="37" t="s">
        <v>62</v>
      </c>
      <c r="C35" s="82">
        <v>56453</v>
      </c>
      <c r="D35" s="95">
        <f t="shared" si="3"/>
        <v>56453</v>
      </c>
      <c r="E35" s="14" t="str">
        <f t="shared" si="0"/>
        <v>-</v>
      </c>
      <c r="F35" s="102">
        <f t="shared" si="1"/>
        <v>1</v>
      </c>
      <c r="G35" s="4">
        <v>56453</v>
      </c>
      <c r="H35" s="85">
        <f t="shared" si="2"/>
        <v>0</v>
      </c>
    </row>
    <row r="36" spans="1:8" s="4" customFormat="1" ht="42.75" customHeight="1">
      <c r="A36" s="31" t="s">
        <v>184</v>
      </c>
      <c r="B36" s="37" t="s">
        <v>185</v>
      </c>
      <c r="C36" s="82">
        <f>C12+C14+C25+C31</f>
        <v>348845</v>
      </c>
      <c r="D36" s="82">
        <f>D12+D14+D25+D31</f>
        <v>361783</v>
      </c>
      <c r="E36" s="14">
        <f t="shared" si="0"/>
        <v>12938</v>
      </c>
      <c r="F36" s="102">
        <f t="shared" si="1"/>
        <v>1.0371</v>
      </c>
      <c r="G36" s="4">
        <v>361783</v>
      </c>
      <c r="H36" s="85">
        <f t="shared" si="2"/>
        <v>0</v>
      </c>
    </row>
    <row r="37" spans="1:6" s="2" customFormat="1" ht="30" customHeight="1">
      <c r="A37" s="25" t="s">
        <v>16</v>
      </c>
      <c r="B37" s="44" t="s">
        <v>195</v>
      </c>
      <c r="C37" s="23">
        <f>C38+C39+C40+C48+C50+C56+C57+C55</f>
        <v>18638</v>
      </c>
      <c r="D37" s="23">
        <f>D38+D39+D40+D48+D50+D56+D57+D55</f>
        <v>18638</v>
      </c>
      <c r="E37" s="12" t="str">
        <f t="shared" si="0"/>
        <v>-</v>
      </c>
      <c r="F37" s="103">
        <f t="shared" si="1"/>
        <v>1</v>
      </c>
    </row>
    <row r="38" spans="1:6" ht="28.5" customHeight="1">
      <c r="A38" s="30" t="s">
        <v>17</v>
      </c>
      <c r="B38" s="39" t="s">
        <v>18</v>
      </c>
      <c r="C38" s="79">
        <v>874</v>
      </c>
      <c r="D38" s="83">
        <f>C38</f>
        <v>874</v>
      </c>
      <c r="E38" s="100" t="str">
        <f t="shared" si="0"/>
        <v>-</v>
      </c>
      <c r="F38" s="101">
        <f t="shared" si="1"/>
        <v>1</v>
      </c>
    </row>
    <row r="39" spans="1:6" ht="28.5" customHeight="1">
      <c r="A39" s="30" t="s">
        <v>19</v>
      </c>
      <c r="B39" s="39" t="s">
        <v>20</v>
      </c>
      <c r="C39" s="79">
        <v>1926</v>
      </c>
      <c r="D39" s="83">
        <f>C39</f>
        <v>1926</v>
      </c>
      <c r="E39" s="100" t="str">
        <f t="shared" si="0"/>
        <v>-</v>
      </c>
      <c r="F39" s="101">
        <f t="shared" si="1"/>
        <v>1</v>
      </c>
    </row>
    <row r="40" spans="1:6" ht="28.5" customHeight="1">
      <c r="A40" s="30" t="s">
        <v>21</v>
      </c>
      <c r="B40" s="40" t="s">
        <v>32</v>
      </c>
      <c r="C40" s="93">
        <f>C41+C43+C44+C45+C46+C47</f>
        <v>55</v>
      </c>
      <c r="D40" s="83">
        <f>D41+D43+D44+D45+D46+D47</f>
        <v>55</v>
      </c>
      <c r="E40" s="100" t="str">
        <f t="shared" si="0"/>
        <v>-</v>
      </c>
      <c r="F40" s="101">
        <f t="shared" si="1"/>
        <v>1</v>
      </c>
    </row>
    <row r="41" spans="1:6" ht="28.5" customHeight="1">
      <c r="A41" s="41" t="s">
        <v>40</v>
      </c>
      <c r="B41" s="42" t="s">
        <v>33</v>
      </c>
      <c r="C41" s="79">
        <v>7</v>
      </c>
      <c r="D41" s="83">
        <f>C41</f>
        <v>7</v>
      </c>
      <c r="E41" s="100" t="str">
        <f t="shared" si="0"/>
        <v>-</v>
      </c>
      <c r="F41" s="101">
        <f t="shared" si="1"/>
        <v>1</v>
      </c>
    </row>
    <row r="42" spans="1:6" ht="28.5" customHeight="1">
      <c r="A42" s="41" t="s">
        <v>41</v>
      </c>
      <c r="B42" s="43" t="s">
        <v>34</v>
      </c>
      <c r="C42" s="79">
        <v>7</v>
      </c>
      <c r="D42" s="83">
        <f aca="true" t="shared" si="4" ref="D42:D61">C42</f>
        <v>7</v>
      </c>
      <c r="E42" s="100" t="str">
        <f t="shared" si="0"/>
        <v>-</v>
      </c>
      <c r="F42" s="101">
        <f t="shared" si="1"/>
        <v>1</v>
      </c>
    </row>
    <row r="43" spans="1:6" ht="28.5" customHeight="1">
      <c r="A43" s="41" t="s">
        <v>42</v>
      </c>
      <c r="B43" s="42" t="s">
        <v>35</v>
      </c>
      <c r="C43" s="79">
        <v>3</v>
      </c>
      <c r="D43" s="83">
        <f t="shared" si="4"/>
        <v>3</v>
      </c>
      <c r="E43" s="100" t="str">
        <f t="shared" si="0"/>
        <v>-</v>
      </c>
      <c r="F43" s="101">
        <f t="shared" si="1"/>
        <v>1</v>
      </c>
    </row>
    <row r="44" spans="1:6" ht="28.5" customHeight="1">
      <c r="A44" s="41" t="s">
        <v>43</v>
      </c>
      <c r="B44" s="42" t="s">
        <v>36</v>
      </c>
      <c r="C44" s="79">
        <v>0</v>
      </c>
      <c r="D44" s="83">
        <f t="shared" si="4"/>
        <v>0</v>
      </c>
      <c r="E44" s="100" t="str">
        <f t="shared" si="0"/>
        <v>-</v>
      </c>
      <c r="F44" s="101" t="str">
        <f t="shared" si="1"/>
        <v>-</v>
      </c>
    </row>
    <row r="45" spans="1:6" ht="28.5" customHeight="1">
      <c r="A45" s="41" t="s">
        <v>44</v>
      </c>
      <c r="B45" s="42" t="s">
        <v>37</v>
      </c>
      <c r="C45" s="79">
        <v>0</v>
      </c>
      <c r="D45" s="83">
        <f t="shared" si="4"/>
        <v>0</v>
      </c>
      <c r="E45" s="100" t="str">
        <f t="shared" si="0"/>
        <v>-</v>
      </c>
      <c r="F45" s="101" t="str">
        <f t="shared" si="1"/>
        <v>-</v>
      </c>
    </row>
    <row r="46" spans="1:6" ht="28.5" customHeight="1">
      <c r="A46" s="41" t="s">
        <v>45</v>
      </c>
      <c r="B46" s="42" t="s">
        <v>38</v>
      </c>
      <c r="C46" s="79">
        <v>45</v>
      </c>
      <c r="D46" s="83">
        <f t="shared" si="4"/>
        <v>45</v>
      </c>
      <c r="E46" s="100" t="str">
        <f t="shared" si="0"/>
        <v>-</v>
      </c>
      <c r="F46" s="101">
        <f t="shared" si="1"/>
        <v>1</v>
      </c>
    </row>
    <row r="47" spans="1:6" ht="28.5" customHeight="1">
      <c r="A47" s="41" t="s">
        <v>46</v>
      </c>
      <c r="B47" s="42" t="s">
        <v>39</v>
      </c>
      <c r="C47" s="79">
        <v>0</v>
      </c>
      <c r="D47" s="83">
        <f>C47</f>
        <v>0</v>
      </c>
      <c r="E47" s="100" t="str">
        <f t="shared" si="0"/>
        <v>-</v>
      </c>
      <c r="F47" s="101" t="str">
        <f t="shared" si="1"/>
        <v>-</v>
      </c>
    </row>
    <row r="48" spans="1:6" ht="28.5" customHeight="1">
      <c r="A48" s="30" t="s">
        <v>22</v>
      </c>
      <c r="B48" s="39" t="s">
        <v>186</v>
      </c>
      <c r="C48" s="79">
        <v>10128</v>
      </c>
      <c r="D48" s="83">
        <f>C48</f>
        <v>10128</v>
      </c>
      <c r="E48" s="100" t="str">
        <f t="shared" si="0"/>
        <v>-</v>
      </c>
      <c r="F48" s="101">
        <f t="shared" si="1"/>
        <v>1</v>
      </c>
    </row>
    <row r="49" spans="1:6" ht="28.5" customHeight="1">
      <c r="A49" s="41" t="s">
        <v>187</v>
      </c>
      <c r="B49" s="42" t="s">
        <v>188</v>
      </c>
      <c r="C49" s="79">
        <v>35</v>
      </c>
      <c r="D49" s="83">
        <f>C49</f>
        <v>35</v>
      </c>
      <c r="E49" s="100" t="str">
        <f t="shared" si="0"/>
        <v>-</v>
      </c>
      <c r="F49" s="101">
        <f t="shared" si="1"/>
        <v>1</v>
      </c>
    </row>
    <row r="50" spans="1:6" ht="28.5" customHeight="1">
      <c r="A50" s="30" t="s">
        <v>23</v>
      </c>
      <c r="B50" s="40" t="s">
        <v>55</v>
      </c>
      <c r="C50" s="93">
        <f>C51+C52+C53+C54</f>
        <v>2250</v>
      </c>
      <c r="D50" s="83">
        <f>D51+D52+D53+D54</f>
        <v>2250</v>
      </c>
      <c r="E50" s="100" t="str">
        <f t="shared" si="0"/>
        <v>-</v>
      </c>
      <c r="F50" s="101">
        <f t="shared" si="1"/>
        <v>1</v>
      </c>
    </row>
    <row r="51" spans="1:6" ht="28.5" customHeight="1">
      <c r="A51" s="41" t="s">
        <v>51</v>
      </c>
      <c r="B51" s="42" t="s">
        <v>47</v>
      </c>
      <c r="C51" s="83">
        <v>1741</v>
      </c>
      <c r="D51" s="83">
        <f t="shared" si="4"/>
        <v>1741</v>
      </c>
      <c r="E51" s="100" t="str">
        <f t="shared" si="0"/>
        <v>-</v>
      </c>
      <c r="F51" s="101">
        <f t="shared" si="1"/>
        <v>1</v>
      </c>
    </row>
    <row r="52" spans="1:6" ht="28.5" customHeight="1">
      <c r="A52" s="41" t="s">
        <v>52</v>
      </c>
      <c r="B52" s="42" t="s">
        <v>48</v>
      </c>
      <c r="C52" s="83">
        <v>248</v>
      </c>
      <c r="D52" s="83">
        <f t="shared" si="4"/>
        <v>248</v>
      </c>
      <c r="E52" s="100" t="str">
        <f t="shared" si="0"/>
        <v>-</v>
      </c>
      <c r="F52" s="101">
        <f t="shared" si="1"/>
        <v>1</v>
      </c>
    </row>
    <row r="53" spans="1:6" ht="28.5" customHeight="1">
      <c r="A53" s="41" t="s">
        <v>53</v>
      </c>
      <c r="B53" s="42" t="s">
        <v>49</v>
      </c>
      <c r="C53" s="83">
        <v>0</v>
      </c>
      <c r="D53" s="83">
        <f t="shared" si="4"/>
        <v>0</v>
      </c>
      <c r="E53" s="100" t="str">
        <f t="shared" si="0"/>
        <v>-</v>
      </c>
      <c r="F53" s="101" t="str">
        <f t="shared" si="1"/>
        <v>-</v>
      </c>
    </row>
    <row r="54" spans="1:6" ht="28.5" customHeight="1">
      <c r="A54" s="41" t="s">
        <v>54</v>
      </c>
      <c r="B54" s="42" t="s">
        <v>50</v>
      </c>
      <c r="C54" s="83">
        <v>261</v>
      </c>
      <c r="D54" s="83">
        <f t="shared" si="4"/>
        <v>261</v>
      </c>
      <c r="E54" s="100" t="str">
        <f t="shared" si="0"/>
        <v>-</v>
      </c>
      <c r="F54" s="101">
        <f t="shared" si="1"/>
        <v>1</v>
      </c>
    </row>
    <row r="55" spans="1:6" ht="28.5" customHeight="1">
      <c r="A55" s="30" t="s">
        <v>24</v>
      </c>
      <c r="B55" s="39" t="s">
        <v>25</v>
      </c>
      <c r="C55" s="79">
        <v>0</v>
      </c>
      <c r="D55" s="83">
        <f>C55</f>
        <v>0</v>
      </c>
      <c r="E55" s="100" t="str">
        <f t="shared" si="0"/>
        <v>-</v>
      </c>
      <c r="F55" s="101" t="str">
        <f t="shared" si="1"/>
        <v>-</v>
      </c>
    </row>
    <row r="56" spans="1:6" ht="28.5" customHeight="1">
      <c r="A56" s="30" t="s">
        <v>26</v>
      </c>
      <c r="B56" s="39" t="s">
        <v>189</v>
      </c>
      <c r="C56" s="79">
        <v>3231</v>
      </c>
      <c r="D56" s="83">
        <f>C56</f>
        <v>3231</v>
      </c>
      <c r="E56" s="100" t="str">
        <f t="shared" si="0"/>
        <v>-</v>
      </c>
      <c r="F56" s="104">
        <f t="shared" si="1"/>
        <v>1</v>
      </c>
    </row>
    <row r="57" spans="1:6" ht="28.5" customHeight="1">
      <c r="A57" s="30" t="s">
        <v>27</v>
      </c>
      <c r="B57" s="39" t="s">
        <v>28</v>
      </c>
      <c r="C57" s="79">
        <v>174</v>
      </c>
      <c r="D57" s="83">
        <f>C57</f>
        <v>174</v>
      </c>
      <c r="E57" s="100" t="str">
        <f t="shared" si="0"/>
        <v>-</v>
      </c>
      <c r="F57" s="101">
        <f t="shared" si="1"/>
        <v>1</v>
      </c>
    </row>
    <row r="58" spans="1:6" s="2" customFormat="1" ht="30" customHeight="1">
      <c r="A58" s="32" t="s">
        <v>29</v>
      </c>
      <c r="B58" s="44" t="s">
        <v>190</v>
      </c>
      <c r="C58" s="81">
        <f>C59+C60+C61+C62</f>
        <v>25678</v>
      </c>
      <c r="D58" s="26">
        <f>D59+D60+D61+D62</f>
        <v>25678</v>
      </c>
      <c r="E58" s="12" t="str">
        <f t="shared" si="0"/>
        <v>-</v>
      </c>
      <c r="F58" s="105">
        <f t="shared" si="1"/>
        <v>1</v>
      </c>
    </row>
    <row r="59" spans="1:6" ht="42" customHeight="1">
      <c r="A59" s="30" t="s">
        <v>104</v>
      </c>
      <c r="B59" s="39" t="s">
        <v>126</v>
      </c>
      <c r="C59" s="79">
        <v>3</v>
      </c>
      <c r="D59" s="83">
        <f t="shared" si="4"/>
        <v>3</v>
      </c>
      <c r="E59" s="75" t="str">
        <f t="shared" si="0"/>
        <v>-</v>
      </c>
      <c r="F59" s="101">
        <f t="shared" si="1"/>
        <v>1</v>
      </c>
    </row>
    <row r="60" spans="1:6" ht="31.5" customHeight="1">
      <c r="A60" s="30" t="s">
        <v>30</v>
      </c>
      <c r="B60" s="39" t="s">
        <v>57</v>
      </c>
      <c r="C60" s="79">
        <v>24175</v>
      </c>
      <c r="D60" s="83">
        <f t="shared" si="4"/>
        <v>24175</v>
      </c>
      <c r="E60" s="75" t="str">
        <f t="shared" si="0"/>
        <v>-</v>
      </c>
      <c r="F60" s="101">
        <f t="shared" si="1"/>
        <v>1</v>
      </c>
    </row>
    <row r="61" spans="1:6" ht="31.5" customHeight="1">
      <c r="A61" s="30" t="s">
        <v>31</v>
      </c>
      <c r="B61" s="39" t="s">
        <v>106</v>
      </c>
      <c r="C61" s="79">
        <v>0</v>
      </c>
      <c r="D61" s="83">
        <f t="shared" si="4"/>
        <v>0</v>
      </c>
      <c r="E61" s="75" t="str">
        <f t="shared" si="0"/>
        <v>-</v>
      </c>
      <c r="F61" s="101" t="str">
        <f t="shared" si="1"/>
        <v>-</v>
      </c>
    </row>
    <row r="62" spans="1:6" ht="31.5" customHeight="1">
      <c r="A62" s="30" t="s">
        <v>105</v>
      </c>
      <c r="B62" s="39" t="s">
        <v>107</v>
      </c>
      <c r="C62" s="79">
        <v>1500</v>
      </c>
      <c r="D62" s="83">
        <f>C62</f>
        <v>1500</v>
      </c>
      <c r="E62" s="75" t="str">
        <f t="shared" si="0"/>
        <v>-</v>
      </c>
      <c r="F62" s="101">
        <f t="shared" si="1"/>
        <v>1</v>
      </c>
    </row>
    <row r="63" spans="1:6" ht="32.25" customHeight="1">
      <c r="A63" s="32" t="s">
        <v>112</v>
      </c>
      <c r="B63" s="44" t="s">
        <v>133</v>
      </c>
      <c r="C63" s="81">
        <v>3885</v>
      </c>
      <c r="D63" s="26">
        <f>C63</f>
        <v>3885</v>
      </c>
      <c r="E63" s="12" t="str">
        <f t="shared" si="0"/>
        <v>-</v>
      </c>
      <c r="F63" s="105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63"/>
  <sheetViews>
    <sheetView showGridLines="0" view="pageBreakPreview" zoomScale="55" zoomScaleNormal="70" zoomScaleSheetLayoutView="55" zoomScalePageLayoutView="0" workbookViewId="0" topLeftCell="A1">
      <pane xSplit="2" ySplit="7" topLeftCell="C26" activePane="bottomRight" state="frozen"/>
      <selection pane="topLeft" activeCell="A2" sqref="A2:B2"/>
      <selection pane="topRight" activeCell="A2" sqref="A2:B2"/>
      <selection pane="bottomLeft" activeCell="A2" sqref="A2:B2"/>
      <selection pane="bottomRight" activeCell="A2" sqref="A2:B2"/>
    </sheetView>
  </sheetViews>
  <sheetFormatPr defaultColWidth="9.00390625" defaultRowHeight="12.75"/>
  <cols>
    <col min="1" max="1" width="9.125" style="1" customWidth="1"/>
    <col min="2" max="2" width="125.875" style="1" customWidth="1"/>
    <col min="3" max="3" width="25.75390625" style="1" customWidth="1"/>
    <col min="4" max="4" width="26.875" style="1" customWidth="1"/>
    <col min="5" max="6" width="20.75390625" style="1" customWidth="1"/>
    <col min="7" max="7" width="9.125" style="1" customWidth="1"/>
    <col min="8" max="8" width="9.375" style="1" bestFit="1" customWidth="1"/>
    <col min="9" max="16384" width="9.125" style="1" customWidth="1"/>
  </cols>
  <sheetData>
    <row r="1" spans="1:6" s="47" customFormat="1" ht="54.75" customHeight="1">
      <c r="A1" s="119" t="str">
        <f>NFZ!A1</f>
        <v>URUCHOMIENIE REZERWY NA KOSZTY ŚWIADCZEŃ OPIEKI ZDROWOTNEJ W RAMACH MIGRACJI UBEZPIECZONYCH Z DNIA 30 SIERPNIA 2012 R. W PLANIE FINANSOWYM NARODOWEGO FUNDUSZU ZDROWIA NA 2013 ROK</v>
      </c>
      <c r="B1" s="119"/>
      <c r="C1" s="119"/>
      <c r="D1" s="119"/>
      <c r="E1" s="119"/>
      <c r="F1" s="119"/>
    </row>
    <row r="2" spans="1:3" s="49" customFormat="1" ht="33" customHeight="1">
      <c r="A2" s="87" t="s">
        <v>76</v>
      </c>
      <c r="B2" s="87"/>
      <c r="C2" s="96"/>
    </row>
    <row r="3" spans="1:6" ht="33" customHeight="1">
      <c r="A3" s="7"/>
      <c r="B3" s="8"/>
      <c r="C3" s="86"/>
      <c r="D3" s="86"/>
      <c r="E3" s="86" t="s">
        <v>166</v>
      </c>
      <c r="F3" s="9"/>
    </row>
    <row r="4" spans="1:6" s="5" customFormat="1" ht="45" customHeight="1">
      <c r="A4" s="114" t="s">
        <v>137</v>
      </c>
      <c r="B4" s="114" t="s">
        <v>56</v>
      </c>
      <c r="C4" s="115" t="s">
        <v>206</v>
      </c>
      <c r="D4" s="115" t="s">
        <v>203</v>
      </c>
      <c r="E4" s="118" t="s">
        <v>204</v>
      </c>
      <c r="F4" s="118" t="s">
        <v>205</v>
      </c>
    </row>
    <row r="5" spans="1:6" s="5" customFormat="1" ht="45" customHeight="1">
      <c r="A5" s="114"/>
      <c r="B5" s="114"/>
      <c r="C5" s="116"/>
      <c r="D5" s="116"/>
      <c r="E5" s="118"/>
      <c r="F5" s="118"/>
    </row>
    <row r="6" spans="1:6" s="3" customFormat="1" ht="14.25">
      <c r="A6" s="46">
        <v>1</v>
      </c>
      <c r="B6" s="51">
        <v>2</v>
      </c>
      <c r="C6" s="46">
        <v>3</v>
      </c>
      <c r="D6" s="51">
        <v>4</v>
      </c>
      <c r="E6" s="46">
        <v>5</v>
      </c>
      <c r="F6" s="51">
        <v>6</v>
      </c>
    </row>
    <row r="7" spans="1:6" s="2" customFormat="1" ht="30" customHeight="1">
      <c r="A7" s="22" t="s">
        <v>0</v>
      </c>
      <c r="B7" s="38" t="s">
        <v>174</v>
      </c>
      <c r="C7" s="97">
        <f>C8+C9+C10+C15+C16+C17+C18+C19+C20+C21+C22+C23+C24+C25+C29+C30+C32+C33</f>
        <v>2252858</v>
      </c>
      <c r="D7" s="15">
        <f>D8+D9+D10+D15+D16+D17+D18+D19+D20+D21+D22+D23+D24+D25+D29+D30+D32+D33</f>
        <v>2252858</v>
      </c>
      <c r="E7" s="12" t="str">
        <f>IF(C7=D7,"-",D7-C7)</f>
        <v>-</v>
      </c>
      <c r="F7" s="99">
        <f>IF(C7=0,"-",D7/C7)</f>
        <v>1</v>
      </c>
    </row>
    <row r="8" spans="1:8" ht="33" customHeight="1">
      <c r="A8" s="28" t="s">
        <v>1</v>
      </c>
      <c r="B8" s="76" t="s">
        <v>138</v>
      </c>
      <c r="C8" s="79">
        <v>281000</v>
      </c>
      <c r="D8" s="24">
        <f>C8</f>
        <v>281000</v>
      </c>
      <c r="E8" s="100" t="str">
        <f aca="true" t="shared" si="0" ref="E8:E63">IF(C8=D8,"-",D8-C8)</f>
        <v>-</v>
      </c>
      <c r="F8" s="101">
        <f aca="true" t="shared" si="1" ref="F8:F63">IF(C8=0,"-",D8/C8)</f>
        <v>1</v>
      </c>
      <c r="G8" s="1">
        <v>281000</v>
      </c>
      <c r="H8" s="85">
        <f>D8-G8</f>
        <v>0</v>
      </c>
    </row>
    <row r="9" spans="1:8" ht="33" customHeight="1">
      <c r="A9" s="28" t="s">
        <v>2</v>
      </c>
      <c r="B9" s="76" t="s">
        <v>139</v>
      </c>
      <c r="C9" s="79">
        <v>177358</v>
      </c>
      <c r="D9" s="24">
        <f>C9+11065</f>
        <v>188423</v>
      </c>
      <c r="E9" s="100">
        <f t="shared" si="0"/>
        <v>11065</v>
      </c>
      <c r="F9" s="101">
        <f t="shared" si="1"/>
        <v>1.0624</v>
      </c>
      <c r="G9" s="1">
        <v>188423</v>
      </c>
      <c r="H9" s="85">
        <f aca="true" t="shared" si="2" ref="H9:H36">D9-G9</f>
        <v>0</v>
      </c>
    </row>
    <row r="10" spans="1:8" ht="33" customHeight="1">
      <c r="A10" s="28" t="s">
        <v>3</v>
      </c>
      <c r="B10" s="76" t="s">
        <v>136</v>
      </c>
      <c r="C10" s="79">
        <v>917764</v>
      </c>
      <c r="D10" s="24">
        <f>C10+144938+2886+13534+7085+4518</f>
        <v>1090725</v>
      </c>
      <c r="E10" s="100">
        <f t="shared" si="0"/>
        <v>172961</v>
      </c>
      <c r="F10" s="101">
        <f t="shared" si="1"/>
        <v>1.1885</v>
      </c>
      <c r="G10" s="1">
        <v>1090725</v>
      </c>
      <c r="H10" s="85">
        <f t="shared" si="2"/>
        <v>0</v>
      </c>
    </row>
    <row r="11" spans="1:8" ht="31.5" customHeight="1">
      <c r="A11" s="77" t="s">
        <v>58</v>
      </c>
      <c r="B11" s="88" t="s">
        <v>167</v>
      </c>
      <c r="C11" s="79">
        <v>57210</v>
      </c>
      <c r="D11" s="24">
        <f>C11+2886+13534</f>
        <v>73630</v>
      </c>
      <c r="E11" s="100">
        <f t="shared" si="0"/>
        <v>16420</v>
      </c>
      <c r="F11" s="101">
        <f t="shared" si="1"/>
        <v>1.287</v>
      </c>
      <c r="G11" s="1">
        <v>73630</v>
      </c>
      <c r="H11" s="85">
        <f t="shared" si="2"/>
        <v>0</v>
      </c>
    </row>
    <row r="12" spans="1:8" ht="31.5" customHeight="1">
      <c r="A12" s="77" t="s">
        <v>168</v>
      </c>
      <c r="B12" s="88" t="s">
        <v>171</v>
      </c>
      <c r="C12" s="79">
        <v>52937</v>
      </c>
      <c r="D12" s="24">
        <f>C12+13534</f>
        <v>66471</v>
      </c>
      <c r="E12" s="100">
        <f t="shared" si="0"/>
        <v>13534</v>
      </c>
      <c r="F12" s="101">
        <f t="shared" si="1"/>
        <v>1.2557</v>
      </c>
      <c r="G12" s="1">
        <v>66471</v>
      </c>
      <c r="H12" s="85">
        <f t="shared" si="2"/>
        <v>0</v>
      </c>
    </row>
    <row r="13" spans="1:8" ht="31.5" customHeight="1">
      <c r="A13" s="77" t="s">
        <v>169</v>
      </c>
      <c r="B13" s="88" t="s">
        <v>172</v>
      </c>
      <c r="C13" s="79">
        <v>42103</v>
      </c>
      <c r="D13" s="24">
        <f>C13+7085+4518</f>
        <v>53706</v>
      </c>
      <c r="E13" s="100">
        <f t="shared" si="0"/>
        <v>11603</v>
      </c>
      <c r="F13" s="101">
        <f t="shared" si="1"/>
        <v>1.2756</v>
      </c>
      <c r="G13" s="1">
        <v>53706</v>
      </c>
      <c r="H13" s="85">
        <f t="shared" si="2"/>
        <v>0</v>
      </c>
    </row>
    <row r="14" spans="1:8" ht="31.5" customHeight="1">
      <c r="A14" s="77" t="s">
        <v>170</v>
      </c>
      <c r="B14" s="88" t="s">
        <v>173</v>
      </c>
      <c r="C14" s="79">
        <v>23328</v>
      </c>
      <c r="D14" s="24">
        <f>C14+4518</f>
        <v>27846</v>
      </c>
      <c r="E14" s="100">
        <f t="shared" si="0"/>
        <v>4518</v>
      </c>
      <c r="F14" s="101">
        <f t="shared" si="1"/>
        <v>1.1937</v>
      </c>
      <c r="G14" s="1">
        <v>27846</v>
      </c>
      <c r="H14" s="85">
        <f t="shared" si="2"/>
        <v>0</v>
      </c>
    </row>
    <row r="15" spans="1:8" ht="33" customHeight="1">
      <c r="A15" s="28" t="s">
        <v>4</v>
      </c>
      <c r="B15" s="76" t="s">
        <v>144</v>
      </c>
      <c r="C15" s="79">
        <v>69517</v>
      </c>
      <c r="D15" s="24">
        <f>C15+15060</f>
        <v>84577</v>
      </c>
      <c r="E15" s="100">
        <f t="shared" si="0"/>
        <v>15060</v>
      </c>
      <c r="F15" s="101">
        <f t="shared" si="1"/>
        <v>1.2166</v>
      </c>
      <c r="G15" s="1">
        <v>84577</v>
      </c>
      <c r="H15" s="85">
        <f t="shared" si="2"/>
        <v>0</v>
      </c>
    </row>
    <row r="16" spans="1:8" ht="33" customHeight="1">
      <c r="A16" s="28" t="s">
        <v>5</v>
      </c>
      <c r="B16" s="76" t="s">
        <v>140</v>
      </c>
      <c r="C16" s="79">
        <v>64887</v>
      </c>
      <c r="D16" s="24">
        <f>C16+4549</f>
        <v>69436</v>
      </c>
      <c r="E16" s="100">
        <f t="shared" si="0"/>
        <v>4549</v>
      </c>
      <c r="F16" s="101">
        <f t="shared" si="1"/>
        <v>1.0701</v>
      </c>
      <c r="G16" s="1">
        <v>69436</v>
      </c>
      <c r="H16" s="85">
        <f t="shared" si="2"/>
        <v>0</v>
      </c>
    </row>
    <row r="17" spans="1:8" ht="33" customHeight="1">
      <c r="A17" s="28" t="s">
        <v>6</v>
      </c>
      <c r="B17" s="76" t="s">
        <v>146</v>
      </c>
      <c r="C17" s="79">
        <v>33994</v>
      </c>
      <c r="D17" s="24">
        <f>C17+2154</f>
        <v>36148</v>
      </c>
      <c r="E17" s="100">
        <f t="shared" si="0"/>
        <v>2154</v>
      </c>
      <c r="F17" s="101">
        <f t="shared" si="1"/>
        <v>1.0634</v>
      </c>
      <c r="G17" s="1">
        <v>36148</v>
      </c>
      <c r="H17" s="85">
        <f t="shared" si="2"/>
        <v>0</v>
      </c>
    </row>
    <row r="18" spans="1:8" ht="33" customHeight="1">
      <c r="A18" s="28" t="s">
        <v>7</v>
      </c>
      <c r="B18" s="76" t="s">
        <v>145</v>
      </c>
      <c r="C18" s="79">
        <v>14804</v>
      </c>
      <c r="D18" s="24">
        <f>C18+425</f>
        <v>15229</v>
      </c>
      <c r="E18" s="100">
        <f t="shared" si="0"/>
        <v>425</v>
      </c>
      <c r="F18" s="101">
        <f t="shared" si="1"/>
        <v>1.0287</v>
      </c>
      <c r="G18" s="1">
        <v>15229</v>
      </c>
      <c r="H18" s="85">
        <f t="shared" si="2"/>
        <v>0</v>
      </c>
    </row>
    <row r="19" spans="1:8" ht="33" customHeight="1">
      <c r="A19" s="28" t="s">
        <v>8</v>
      </c>
      <c r="B19" s="76" t="s">
        <v>141</v>
      </c>
      <c r="C19" s="79">
        <v>81647</v>
      </c>
      <c r="D19" s="24">
        <f>C19+3023</f>
        <v>84670</v>
      </c>
      <c r="E19" s="100">
        <f t="shared" si="0"/>
        <v>3023</v>
      </c>
      <c r="F19" s="101">
        <f t="shared" si="1"/>
        <v>1.037</v>
      </c>
      <c r="G19" s="1">
        <v>84670</v>
      </c>
      <c r="H19" s="85">
        <f t="shared" si="2"/>
        <v>0</v>
      </c>
    </row>
    <row r="20" spans="1:8" ht="33" customHeight="1">
      <c r="A20" s="28" t="s">
        <v>9</v>
      </c>
      <c r="B20" s="76" t="s">
        <v>142</v>
      </c>
      <c r="C20" s="79">
        <v>19674</v>
      </c>
      <c r="D20" s="24">
        <f aca="true" t="shared" si="3" ref="D20:D35">C20</f>
        <v>19674</v>
      </c>
      <c r="E20" s="100" t="str">
        <f t="shared" si="0"/>
        <v>-</v>
      </c>
      <c r="F20" s="101">
        <f t="shared" si="1"/>
        <v>1</v>
      </c>
      <c r="G20" s="1">
        <v>19674</v>
      </c>
      <c r="H20" s="85">
        <f t="shared" si="2"/>
        <v>0</v>
      </c>
    </row>
    <row r="21" spans="1:8" ht="33" customHeight="1">
      <c r="A21" s="28" t="s">
        <v>10</v>
      </c>
      <c r="B21" s="76" t="s">
        <v>147</v>
      </c>
      <c r="C21" s="79">
        <v>3000</v>
      </c>
      <c r="D21" s="24">
        <f t="shared" si="3"/>
        <v>3000</v>
      </c>
      <c r="E21" s="100" t="str">
        <f t="shared" si="0"/>
        <v>-</v>
      </c>
      <c r="F21" s="101">
        <f t="shared" si="1"/>
        <v>1</v>
      </c>
      <c r="G21" s="1">
        <v>3000</v>
      </c>
      <c r="H21" s="85">
        <f t="shared" si="2"/>
        <v>0</v>
      </c>
    </row>
    <row r="22" spans="1:8" ht="46.5" customHeight="1">
      <c r="A22" s="28" t="s">
        <v>11</v>
      </c>
      <c r="B22" s="76" t="s">
        <v>143</v>
      </c>
      <c r="C22" s="79">
        <v>6855</v>
      </c>
      <c r="D22" s="24">
        <f>C22+295</f>
        <v>7150</v>
      </c>
      <c r="E22" s="100">
        <f t="shared" si="0"/>
        <v>295</v>
      </c>
      <c r="F22" s="101">
        <f t="shared" si="1"/>
        <v>1.043</v>
      </c>
      <c r="G22" s="1">
        <v>7150</v>
      </c>
      <c r="H22" s="85">
        <f t="shared" si="2"/>
        <v>0</v>
      </c>
    </row>
    <row r="23" spans="1:8" ht="33" customHeight="1">
      <c r="A23" s="28" t="s">
        <v>12</v>
      </c>
      <c r="B23" s="76" t="s">
        <v>197</v>
      </c>
      <c r="C23" s="79">
        <v>53491</v>
      </c>
      <c r="D23" s="24">
        <f>C23+8307</f>
        <v>61798</v>
      </c>
      <c r="E23" s="100">
        <f t="shared" si="0"/>
        <v>8307</v>
      </c>
      <c r="F23" s="101">
        <f t="shared" si="1"/>
        <v>1.1553</v>
      </c>
      <c r="G23" s="1">
        <v>61798</v>
      </c>
      <c r="H23" s="85">
        <f t="shared" si="2"/>
        <v>0</v>
      </c>
    </row>
    <row r="24" spans="1:8" ht="33" customHeight="1">
      <c r="A24" s="28" t="s">
        <v>13</v>
      </c>
      <c r="B24" s="76" t="s">
        <v>175</v>
      </c>
      <c r="C24" s="79">
        <v>28000</v>
      </c>
      <c r="D24" s="24">
        <f t="shared" si="3"/>
        <v>28000</v>
      </c>
      <c r="E24" s="100" t="str">
        <f t="shared" si="0"/>
        <v>-</v>
      </c>
      <c r="F24" s="101">
        <f t="shared" si="1"/>
        <v>1</v>
      </c>
      <c r="G24" s="1">
        <v>28000</v>
      </c>
      <c r="H24" s="85">
        <f t="shared" si="2"/>
        <v>0</v>
      </c>
    </row>
    <row r="25" spans="1:8" ht="33" customHeight="1">
      <c r="A25" s="29" t="s">
        <v>14</v>
      </c>
      <c r="B25" s="76" t="s">
        <v>176</v>
      </c>
      <c r="C25" s="79">
        <v>275705</v>
      </c>
      <c r="D25" s="24">
        <f>C25</f>
        <v>275705</v>
      </c>
      <c r="E25" s="100" t="str">
        <f t="shared" si="0"/>
        <v>-</v>
      </c>
      <c r="F25" s="101">
        <f t="shared" si="1"/>
        <v>1</v>
      </c>
      <c r="G25" s="1">
        <v>275705</v>
      </c>
      <c r="H25" s="85">
        <f t="shared" si="2"/>
        <v>0</v>
      </c>
    </row>
    <row r="26" spans="1:8" ht="31.5">
      <c r="A26" s="27" t="s">
        <v>148</v>
      </c>
      <c r="B26" s="88" t="s">
        <v>178</v>
      </c>
      <c r="C26" s="79">
        <v>275185</v>
      </c>
      <c r="D26" s="24">
        <f t="shared" si="3"/>
        <v>275185</v>
      </c>
      <c r="E26" s="100" t="str">
        <f t="shared" si="0"/>
        <v>-</v>
      </c>
      <c r="F26" s="101">
        <f t="shared" si="1"/>
        <v>1</v>
      </c>
      <c r="G26" s="1">
        <v>275185</v>
      </c>
      <c r="H26" s="85">
        <f t="shared" si="2"/>
        <v>0</v>
      </c>
    </row>
    <row r="27" spans="1:8" ht="31.5" customHeight="1">
      <c r="A27" s="77" t="s">
        <v>177</v>
      </c>
      <c r="B27" s="88" t="s">
        <v>180</v>
      </c>
      <c r="C27" s="79">
        <v>370</v>
      </c>
      <c r="D27" s="24">
        <f t="shared" si="3"/>
        <v>370</v>
      </c>
      <c r="E27" s="100" t="str">
        <f t="shared" si="0"/>
        <v>-</v>
      </c>
      <c r="F27" s="101">
        <f t="shared" si="1"/>
        <v>1</v>
      </c>
      <c r="G27" s="1">
        <v>370</v>
      </c>
      <c r="H27" s="85">
        <f t="shared" si="2"/>
        <v>0</v>
      </c>
    </row>
    <row r="28" spans="1:8" ht="31.5" customHeight="1">
      <c r="A28" s="77" t="s">
        <v>181</v>
      </c>
      <c r="B28" s="88" t="s">
        <v>179</v>
      </c>
      <c r="C28" s="79">
        <v>150</v>
      </c>
      <c r="D28" s="24">
        <f t="shared" si="3"/>
        <v>150</v>
      </c>
      <c r="E28" s="100" t="str">
        <f t="shared" si="0"/>
        <v>-</v>
      </c>
      <c r="F28" s="101">
        <f t="shared" si="1"/>
        <v>1</v>
      </c>
      <c r="G28" s="1">
        <v>150</v>
      </c>
      <c r="H28" s="85">
        <f t="shared" si="2"/>
        <v>0</v>
      </c>
    </row>
    <row r="29" spans="1:8" ht="33" customHeight="1">
      <c r="A29" s="30" t="s">
        <v>15</v>
      </c>
      <c r="B29" s="35" t="s">
        <v>124</v>
      </c>
      <c r="C29" s="79">
        <v>0</v>
      </c>
      <c r="D29" s="24">
        <f t="shared" si="3"/>
        <v>0</v>
      </c>
      <c r="E29" s="100" t="str">
        <f t="shared" si="0"/>
        <v>-</v>
      </c>
      <c r="F29" s="101" t="str">
        <f t="shared" si="1"/>
        <v>-</v>
      </c>
      <c r="G29" s="1">
        <v>0</v>
      </c>
      <c r="H29" s="85">
        <f t="shared" si="2"/>
        <v>0</v>
      </c>
    </row>
    <row r="30" spans="1:8" ht="33" customHeight="1">
      <c r="A30" s="30" t="s">
        <v>121</v>
      </c>
      <c r="B30" s="39" t="s">
        <v>182</v>
      </c>
      <c r="C30" s="79">
        <v>0</v>
      </c>
      <c r="D30" s="24">
        <f t="shared" si="3"/>
        <v>0</v>
      </c>
      <c r="E30" s="100" t="str">
        <f t="shared" si="0"/>
        <v>-</v>
      </c>
      <c r="F30" s="101" t="str">
        <f t="shared" si="1"/>
        <v>-</v>
      </c>
      <c r="G30" s="1">
        <v>0</v>
      </c>
      <c r="H30" s="85">
        <f t="shared" si="2"/>
        <v>0</v>
      </c>
    </row>
    <row r="31" spans="1:8" ht="31.5" customHeight="1">
      <c r="A31" s="77" t="s">
        <v>183</v>
      </c>
      <c r="B31" s="88" t="s">
        <v>199</v>
      </c>
      <c r="C31" s="79">
        <v>0</v>
      </c>
      <c r="D31" s="24">
        <f t="shared" si="3"/>
        <v>0</v>
      </c>
      <c r="E31" s="100" t="str">
        <f t="shared" si="0"/>
        <v>-</v>
      </c>
      <c r="F31" s="101" t="str">
        <f t="shared" si="1"/>
        <v>-</v>
      </c>
      <c r="G31" s="1">
        <v>0</v>
      </c>
      <c r="H31" s="85">
        <f t="shared" si="2"/>
        <v>0</v>
      </c>
    </row>
    <row r="32" spans="1:8" ht="33" customHeight="1">
      <c r="A32" s="30" t="s">
        <v>122</v>
      </c>
      <c r="B32" s="36" t="s">
        <v>125</v>
      </c>
      <c r="C32" s="79">
        <v>225162</v>
      </c>
      <c r="D32" s="24">
        <f>C32-225162</f>
        <v>0</v>
      </c>
      <c r="E32" s="100">
        <f t="shared" si="0"/>
        <v>-225162</v>
      </c>
      <c r="F32" s="101">
        <f t="shared" si="1"/>
        <v>0</v>
      </c>
      <c r="G32" s="1">
        <v>0</v>
      </c>
      <c r="H32" s="85">
        <f t="shared" si="2"/>
        <v>0</v>
      </c>
    </row>
    <row r="33" spans="1:8" ht="33" customHeight="1">
      <c r="A33" s="30" t="s">
        <v>123</v>
      </c>
      <c r="B33" s="39" t="s">
        <v>198</v>
      </c>
      <c r="C33" s="79">
        <v>0</v>
      </c>
      <c r="D33" s="24">
        <f>C33+7323</f>
        <v>7323</v>
      </c>
      <c r="E33" s="100">
        <f t="shared" si="0"/>
        <v>7323</v>
      </c>
      <c r="F33" s="101" t="str">
        <f t="shared" si="1"/>
        <v>-</v>
      </c>
      <c r="G33" s="1">
        <v>7323</v>
      </c>
      <c r="H33" s="85">
        <f t="shared" si="2"/>
        <v>0</v>
      </c>
    </row>
    <row r="34" spans="1:8" s="4" customFormat="1" ht="31.5" customHeight="1">
      <c r="A34" s="31" t="s">
        <v>60</v>
      </c>
      <c r="B34" s="37" t="s">
        <v>61</v>
      </c>
      <c r="C34" s="82">
        <v>0</v>
      </c>
      <c r="D34" s="94">
        <f t="shared" si="3"/>
        <v>0</v>
      </c>
      <c r="E34" s="14" t="str">
        <f t="shared" si="0"/>
        <v>-</v>
      </c>
      <c r="F34" s="102" t="str">
        <f t="shared" si="1"/>
        <v>-</v>
      </c>
      <c r="G34" s="4">
        <v>0</v>
      </c>
      <c r="H34" s="85">
        <f t="shared" si="2"/>
        <v>0</v>
      </c>
    </row>
    <row r="35" spans="1:8" s="4" customFormat="1" ht="31.5" customHeight="1">
      <c r="A35" s="31" t="s">
        <v>59</v>
      </c>
      <c r="B35" s="37" t="s">
        <v>62</v>
      </c>
      <c r="C35" s="82">
        <v>91856</v>
      </c>
      <c r="D35" s="95">
        <f t="shared" si="3"/>
        <v>91856</v>
      </c>
      <c r="E35" s="14" t="str">
        <f t="shared" si="0"/>
        <v>-</v>
      </c>
      <c r="F35" s="102">
        <f t="shared" si="1"/>
        <v>1</v>
      </c>
      <c r="G35" s="4">
        <v>91856</v>
      </c>
      <c r="H35" s="85">
        <f t="shared" si="2"/>
        <v>0</v>
      </c>
    </row>
    <row r="36" spans="1:8" s="4" customFormat="1" ht="42.75" customHeight="1">
      <c r="A36" s="31" t="s">
        <v>184</v>
      </c>
      <c r="B36" s="37" t="s">
        <v>185</v>
      </c>
      <c r="C36" s="82">
        <f>C12+C14+C25+C31</f>
        <v>351970</v>
      </c>
      <c r="D36" s="82">
        <f>D12+D14+D25+D31</f>
        <v>370022</v>
      </c>
      <c r="E36" s="14">
        <f t="shared" si="0"/>
        <v>18052</v>
      </c>
      <c r="F36" s="102">
        <f t="shared" si="1"/>
        <v>1.0513</v>
      </c>
      <c r="G36" s="4">
        <v>370022</v>
      </c>
      <c r="H36" s="85">
        <f t="shared" si="2"/>
        <v>0</v>
      </c>
    </row>
    <row r="37" spans="1:6" s="2" customFormat="1" ht="30" customHeight="1">
      <c r="A37" s="25" t="s">
        <v>16</v>
      </c>
      <c r="B37" s="44" t="s">
        <v>195</v>
      </c>
      <c r="C37" s="23">
        <f>C38+C39+C40+C48+C50+C56+C57+C55</f>
        <v>19035</v>
      </c>
      <c r="D37" s="23">
        <f>D38+D39+D40+D48+D50+D56+D57+D55</f>
        <v>19035</v>
      </c>
      <c r="E37" s="12" t="str">
        <f t="shared" si="0"/>
        <v>-</v>
      </c>
      <c r="F37" s="103">
        <f t="shared" si="1"/>
        <v>1</v>
      </c>
    </row>
    <row r="38" spans="1:6" ht="28.5" customHeight="1">
      <c r="A38" s="30" t="s">
        <v>17</v>
      </c>
      <c r="B38" s="39" t="s">
        <v>18</v>
      </c>
      <c r="C38" s="79">
        <v>820</v>
      </c>
      <c r="D38" s="83">
        <f>C38</f>
        <v>820</v>
      </c>
      <c r="E38" s="100" t="str">
        <f t="shared" si="0"/>
        <v>-</v>
      </c>
      <c r="F38" s="101">
        <f t="shared" si="1"/>
        <v>1</v>
      </c>
    </row>
    <row r="39" spans="1:6" ht="28.5" customHeight="1">
      <c r="A39" s="30" t="s">
        <v>19</v>
      </c>
      <c r="B39" s="39" t="s">
        <v>20</v>
      </c>
      <c r="C39" s="79">
        <v>1880</v>
      </c>
      <c r="D39" s="83">
        <f>C39</f>
        <v>1880</v>
      </c>
      <c r="E39" s="100" t="str">
        <f t="shared" si="0"/>
        <v>-</v>
      </c>
      <c r="F39" s="101">
        <f t="shared" si="1"/>
        <v>1</v>
      </c>
    </row>
    <row r="40" spans="1:6" ht="28.5" customHeight="1">
      <c r="A40" s="30" t="s">
        <v>21</v>
      </c>
      <c r="B40" s="40" t="s">
        <v>32</v>
      </c>
      <c r="C40" s="93">
        <f>C41+C43+C44+C45+C46+C47</f>
        <v>108</v>
      </c>
      <c r="D40" s="83">
        <f>D41+D43+D44+D45+D46+D47</f>
        <v>108</v>
      </c>
      <c r="E40" s="100" t="str">
        <f t="shared" si="0"/>
        <v>-</v>
      </c>
      <c r="F40" s="101">
        <f t="shared" si="1"/>
        <v>1</v>
      </c>
    </row>
    <row r="41" spans="1:6" ht="28.5" customHeight="1">
      <c r="A41" s="41" t="s">
        <v>40</v>
      </c>
      <c r="B41" s="42" t="s">
        <v>33</v>
      </c>
      <c r="C41" s="79">
        <v>34</v>
      </c>
      <c r="D41" s="83">
        <f>C41</f>
        <v>34</v>
      </c>
      <c r="E41" s="100" t="str">
        <f t="shared" si="0"/>
        <v>-</v>
      </c>
      <c r="F41" s="101">
        <f t="shared" si="1"/>
        <v>1</v>
      </c>
    </row>
    <row r="42" spans="1:6" ht="28.5" customHeight="1">
      <c r="A42" s="41" t="s">
        <v>41</v>
      </c>
      <c r="B42" s="43" t="s">
        <v>34</v>
      </c>
      <c r="C42" s="79">
        <v>31</v>
      </c>
      <c r="D42" s="83">
        <f aca="true" t="shared" si="4" ref="D42:D61">C42</f>
        <v>31</v>
      </c>
      <c r="E42" s="100" t="str">
        <f t="shared" si="0"/>
        <v>-</v>
      </c>
      <c r="F42" s="101">
        <f t="shared" si="1"/>
        <v>1</v>
      </c>
    </row>
    <row r="43" spans="1:6" ht="28.5" customHeight="1">
      <c r="A43" s="41" t="s">
        <v>42</v>
      </c>
      <c r="B43" s="42" t="s">
        <v>35</v>
      </c>
      <c r="C43" s="79">
        <v>0</v>
      </c>
      <c r="D43" s="83">
        <f t="shared" si="4"/>
        <v>0</v>
      </c>
      <c r="E43" s="100" t="str">
        <f t="shared" si="0"/>
        <v>-</v>
      </c>
      <c r="F43" s="101" t="str">
        <f t="shared" si="1"/>
        <v>-</v>
      </c>
    </row>
    <row r="44" spans="1:6" ht="28.5" customHeight="1">
      <c r="A44" s="41" t="s">
        <v>43</v>
      </c>
      <c r="B44" s="42" t="s">
        <v>36</v>
      </c>
      <c r="C44" s="79">
        <v>0</v>
      </c>
      <c r="D44" s="83">
        <f t="shared" si="4"/>
        <v>0</v>
      </c>
      <c r="E44" s="100" t="str">
        <f t="shared" si="0"/>
        <v>-</v>
      </c>
      <c r="F44" s="101" t="str">
        <f t="shared" si="1"/>
        <v>-</v>
      </c>
    </row>
    <row r="45" spans="1:6" ht="28.5" customHeight="1">
      <c r="A45" s="41" t="s">
        <v>44</v>
      </c>
      <c r="B45" s="42" t="s">
        <v>37</v>
      </c>
      <c r="C45" s="79">
        <v>0</v>
      </c>
      <c r="D45" s="83">
        <f t="shared" si="4"/>
        <v>0</v>
      </c>
      <c r="E45" s="100" t="str">
        <f t="shared" si="0"/>
        <v>-</v>
      </c>
      <c r="F45" s="101" t="str">
        <f t="shared" si="1"/>
        <v>-</v>
      </c>
    </row>
    <row r="46" spans="1:6" ht="28.5" customHeight="1">
      <c r="A46" s="41" t="s">
        <v>45</v>
      </c>
      <c r="B46" s="42" t="s">
        <v>38</v>
      </c>
      <c r="C46" s="79">
        <v>71</v>
      </c>
      <c r="D46" s="83">
        <f t="shared" si="4"/>
        <v>71</v>
      </c>
      <c r="E46" s="100" t="str">
        <f t="shared" si="0"/>
        <v>-</v>
      </c>
      <c r="F46" s="101">
        <f t="shared" si="1"/>
        <v>1</v>
      </c>
    </row>
    <row r="47" spans="1:6" ht="28.5" customHeight="1">
      <c r="A47" s="41" t="s">
        <v>46</v>
      </c>
      <c r="B47" s="42" t="s">
        <v>39</v>
      </c>
      <c r="C47" s="79">
        <v>3</v>
      </c>
      <c r="D47" s="83">
        <f>C47</f>
        <v>3</v>
      </c>
      <c r="E47" s="100" t="str">
        <f t="shared" si="0"/>
        <v>-</v>
      </c>
      <c r="F47" s="101">
        <f t="shared" si="1"/>
        <v>1</v>
      </c>
    </row>
    <row r="48" spans="1:6" ht="28.5" customHeight="1">
      <c r="A48" s="30" t="s">
        <v>22</v>
      </c>
      <c r="B48" s="39" t="s">
        <v>186</v>
      </c>
      <c r="C48" s="79">
        <v>10578</v>
      </c>
      <c r="D48" s="83">
        <f>C48</f>
        <v>10578</v>
      </c>
      <c r="E48" s="100" t="str">
        <f t="shared" si="0"/>
        <v>-</v>
      </c>
      <c r="F48" s="101">
        <f t="shared" si="1"/>
        <v>1</v>
      </c>
    </row>
    <row r="49" spans="1:6" ht="28.5" customHeight="1">
      <c r="A49" s="41" t="s">
        <v>187</v>
      </c>
      <c r="B49" s="42" t="s">
        <v>188</v>
      </c>
      <c r="C49" s="79">
        <v>30</v>
      </c>
      <c r="D49" s="83">
        <f>C49</f>
        <v>30</v>
      </c>
      <c r="E49" s="100" t="str">
        <f t="shared" si="0"/>
        <v>-</v>
      </c>
      <c r="F49" s="101">
        <f t="shared" si="1"/>
        <v>1</v>
      </c>
    </row>
    <row r="50" spans="1:6" ht="28.5" customHeight="1">
      <c r="A50" s="30" t="s">
        <v>23</v>
      </c>
      <c r="B50" s="40" t="s">
        <v>55</v>
      </c>
      <c r="C50" s="93">
        <f>C51+C52+C53+C54</f>
        <v>2340</v>
      </c>
      <c r="D50" s="83">
        <f>D51+D52+D53+D54</f>
        <v>2340</v>
      </c>
      <c r="E50" s="100" t="str">
        <f t="shared" si="0"/>
        <v>-</v>
      </c>
      <c r="F50" s="101">
        <f t="shared" si="1"/>
        <v>1</v>
      </c>
    </row>
    <row r="51" spans="1:6" ht="28.5" customHeight="1">
      <c r="A51" s="41" t="s">
        <v>51</v>
      </c>
      <c r="B51" s="42" t="s">
        <v>47</v>
      </c>
      <c r="C51" s="83">
        <v>1818</v>
      </c>
      <c r="D51" s="83">
        <f t="shared" si="4"/>
        <v>1818</v>
      </c>
      <c r="E51" s="100" t="str">
        <f t="shared" si="0"/>
        <v>-</v>
      </c>
      <c r="F51" s="101">
        <f t="shared" si="1"/>
        <v>1</v>
      </c>
    </row>
    <row r="52" spans="1:6" ht="28.5" customHeight="1">
      <c r="A52" s="41" t="s">
        <v>52</v>
      </c>
      <c r="B52" s="42" t="s">
        <v>48</v>
      </c>
      <c r="C52" s="83">
        <v>259</v>
      </c>
      <c r="D52" s="83">
        <f t="shared" si="4"/>
        <v>259</v>
      </c>
      <c r="E52" s="100" t="str">
        <f t="shared" si="0"/>
        <v>-</v>
      </c>
      <c r="F52" s="101">
        <f t="shared" si="1"/>
        <v>1</v>
      </c>
    </row>
    <row r="53" spans="1:6" ht="28.5" customHeight="1">
      <c r="A53" s="41" t="s">
        <v>53</v>
      </c>
      <c r="B53" s="42" t="s">
        <v>49</v>
      </c>
      <c r="C53" s="83">
        <v>0</v>
      </c>
      <c r="D53" s="83">
        <f t="shared" si="4"/>
        <v>0</v>
      </c>
      <c r="E53" s="100" t="str">
        <f t="shared" si="0"/>
        <v>-</v>
      </c>
      <c r="F53" s="101" t="str">
        <f t="shared" si="1"/>
        <v>-</v>
      </c>
    </row>
    <row r="54" spans="1:6" ht="28.5" customHeight="1">
      <c r="A54" s="41" t="s">
        <v>54</v>
      </c>
      <c r="B54" s="42" t="s">
        <v>50</v>
      </c>
      <c r="C54" s="83">
        <v>263</v>
      </c>
      <c r="D54" s="83">
        <f t="shared" si="4"/>
        <v>263</v>
      </c>
      <c r="E54" s="100" t="str">
        <f t="shared" si="0"/>
        <v>-</v>
      </c>
      <c r="F54" s="101">
        <f t="shared" si="1"/>
        <v>1</v>
      </c>
    </row>
    <row r="55" spans="1:6" ht="28.5" customHeight="1">
      <c r="A55" s="30" t="s">
        <v>24</v>
      </c>
      <c r="B55" s="39" t="s">
        <v>25</v>
      </c>
      <c r="C55" s="79">
        <v>0</v>
      </c>
      <c r="D55" s="83">
        <f>C55</f>
        <v>0</v>
      </c>
      <c r="E55" s="100" t="str">
        <f t="shared" si="0"/>
        <v>-</v>
      </c>
      <c r="F55" s="101" t="str">
        <f t="shared" si="1"/>
        <v>-</v>
      </c>
    </row>
    <row r="56" spans="1:6" ht="28.5" customHeight="1">
      <c r="A56" s="30" t="s">
        <v>26</v>
      </c>
      <c r="B56" s="39" t="s">
        <v>189</v>
      </c>
      <c r="C56" s="79">
        <v>3161</v>
      </c>
      <c r="D56" s="83">
        <f>C56</f>
        <v>3161</v>
      </c>
      <c r="E56" s="100" t="str">
        <f t="shared" si="0"/>
        <v>-</v>
      </c>
      <c r="F56" s="104">
        <f t="shared" si="1"/>
        <v>1</v>
      </c>
    </row>
    <row r="57" spans="1:6" ht="28.5" customHeight="1">
      <c r="A57" s="30" t="s">
        <v>27</v>
      </c>
      <c r="B57" s="39" t="s">
        <v>28</v>
      </c>
      <c r="C57" s="79">
        <v>148</v>
      </c>
      <c r="D57" s="83">
        <f>C57</f>
        <v>148</v>
      </c>
      <c r="E57" s="100" t="str">
        <f t="shared" si="0"/>
        <v>-</v>
      </c>
      <c r="F57" s="101">
        <f t="shared" si="1"/>
        <v>1</v>
      </c>
    </row>
    <row r="58" spans="1:6" s="2" customFormat="1" ht="30" customHeight="1">
      <c r="A58" s="32" t="s">
        <v>29</v>
      </c>
      <c r="B58" s="44" t="s">
        <v>190</v>
      </c>
      <c r="C58" s="81">
        <f>C59+C60+C61+C62</f>
        <v>39642</v>
      </c>
      <c r="D58" s="26">
        <f>D59+D60+D61+D62</f>
        <v>39642</v>
      </c>
      <c r="E58" s="12" t="str">
        <f t="shared" si="0"/>
        <v>-</v>
      </c>
      <c r="F58" s="105">
        <f t="shared" si="1"/>
        <v>1</v>
      </c>
    </row>
    <row r="59" spans="1:6" ht="42" customHeight="1">
      <c r="A59" s="30" t="s">
        <v>104</v>
      </c>
      <c r="B59" s="39" t="s">
        <v>126</v>
      </c>
      <c r="C59" s="79">
        <v>100</v>
      </c>
      <c r="D59" s="83">
        <f t="shared" si="4"/>
        <v>100</v>
      </c>
      <c r="E59" s="75" t="str">
        <f t="shared" si="0"/>
        <v>-</v>
      </c>
      <c r="F59" s="101">
        <f t="shared" si="1"/>
        <v>1</v>
      </c>
    </row>
    <row r="60" spans="1:6" ht="31.5" customHeight="1">
      <c r="A60" s="30" t="s">
        <v>30</v>
      </c>
      <c r="B60" s="39" t="s">
        <v>57</v>
      </c>
      <c r="C60" s="79">
        <v>38805</v>
      </c>
      <c r="D60" s="83">
        <f t="shared" si="4"/>
        <v>38805</v>
      </c>
      <c r="E60" s="75" t="str">
        <f t="shared" si="0"/>
        <v>-</v>
      </c>
      <c r="F60" s="101">
        <f t="shared" si="1"/>
        <v>1</v>
      </c>
    </row>
    <row r="61" spans="1:6" ht="31.5" customHeight="1">
      <c r="A61" s="30" t="s">
        <v>31</v>
      </c>
      <c r="B61" s="39" t="s">
        <v>106</v>
      </c>
      <c r="C61" s="79">
        <v>0</v>
      </c>
      <c r="D61" s="83">
        <f t="shared" si="4"/>
        <v>0</v>
      </c>
      <c r="E61" s="75" t="str">
        <f t="shared" si="0"/>
        <v>-</v>
      </c>
      <c r="F61" s="101" t="str">
        <f t="shared" si="1"/>
        <v>-</v>
      </c>
    </row>
    <row r="62" spans="1:6" ht="31.5" customHeight="1">
      <c r="A62" s="30" t="s">
        <v>105</v>
      </c>
      <c r="B62" s="39" t="s">
        <v>107</v>
      </c>
      <c r="C62" s="79">
        <v>737</v>
      </c>
      <c r="D62" s="83">
        <f>C62</f>
        <v>737</v>
      </c>
      <c r="E62" s="75" t="str">
        <f t="shared" si="0"/>
        <v>-</v>
      </c>
      <c r="F62" s="101">
        <f t="shared" si="1"/>
        <v>1</v>
      </c>
    </row>
    <row r="63" spans="1:6" ht="32.25" customHeight="1">
      <c r="A63" s="32" t="s">
        <v>112</v>
      </c>
      <c r="B63" s="44" t="s">
        <v>133</v>
      </c>
      <c r="C63" s="81">
        <v>2</v>
      </c>
      <c r="D63" s="26">
        <f>C63</f>
        <v>2</v>
      </c>
      <c r="E63" s="12" t="str">
        <f t="shared" si="0"/>
        <v>-</v>
      </c>
      <c r="F63" s="105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63"/>
  <sheetViews>
    <sheetView showGridLines="0" view="pageBreakPreview" zoomScale="55" zoomScaleNormal="70" zoomScaleSheetLayoutView="55" zoomScalePageLayoutView="0" workbookViewId="0" topLeftCell="A1">
      <pane xSplit="2" ySplit="7" topLeftCell="C16" activePane="bottomRight" state="frozen"/>
      <selection pane="topLeft" activeCell="A2" sqref="A2:B2"/>
      <selection pane="topRight" activeCell="A2" sqref="A2:B2"/>
      <selection pane="bottomLeft" activeCell="A2" sqref="A2:B2"/>
      <selection pane="bottomRight" activeCell="A2" sqref="A2:B2"/>
    </sheetView>
  </sheetViews>
  <sheetFormatPr defaultColWidth="9.00390625" defaultRowHeight="12.75"/>
  <cols>
    <col min="1" max="1" width="9.125" style="1" customWidth="1"/>
    <col min="2" max="2" width="125.875" style="1" customWidth="1"/>
    <col min="3" max="3" width="25.75390625" style="1" customWidth="1"/>
    <col min="4" max="4" width="26.875" style="1" customWidth="1"/>
    <col min="5" max="6" width="20.75390625" style="1" customWidth="1"/>
    <col min="7" max="7" width="9.125" style="1" customWidth="1"/>
    <col min="8" max="8" width="9.375" style="1" bestFit="1" customWidth="1"/>
    <col min="9" max="16384" width="9.125" style="1" customWidth="1"/>
  </cols>
  <sheetData>
    <row r="1" spans="1:6" s="47" customFormat="1" ht="54.75" customHeight="1">
      <c r="A1" s="119" t="str">
        <f>NFZ!A1</f>
        <v>URUCHOMIENIE REZERWY NA KOSZTY ŚWIADCZEŃ OPIEKI ZDROWOTNEJ W RAMACH MIGRACJI UBEZPIECZONYCH Z DNIA 30 SIERPNIA 2012 R. W PLANIE FINANSOWYM NARODOWEGO FUNDUSZU ZDROWIA NA 2013 ROK</v>
      </c>
      <c r="B1" s="119"/>
      <c r="C1" s="119"/>
      <c r="D1" s="119"/>
      <c r="E1" s="119"/>
      <c r="F1" s="119"/>
    </row>
    <row r="2" spans="1:3" s="49" customFormat="1" ht="33" customHeight="1">
      <c r="A2" s="87" t="s">
        <v>77</v>
      </c>
      <c r="B2" s="87"/>
      <c r="C2" s="96"/>
    </row>
    <row r="3" spans="1:6" ht="33" customHeight="1">
      <c r="A3" s="7"/>
      <c r="B3" s="8"/>
      <c r="C3" s="86"/>
      <c r="D3" s="86"/>
      <c r="E3" s="86" t="s">
        <v>166</v>
      </c>
      <c r="F3" s="9"/>
    </row>
    <row r="4" spans="1:6" s="5" customFormat="1" ht="45" customHeight="1">
      <c r="A4" s="114" t="s">
        <v>137</v>
      </c>
      <c r="B4" s="114" t="s">
        <v>56</v>
      </c>
      <c r="C4" s="115" t="s">
        <v>206</v>
      </c>
      <c r="D4" s="115" t="s">
        <v>203</v>
      </c>
      <c r="E4" s="118" t="s">
        <v>204</v>
      </c>
      <c r="F4" s="118" t="s">
        <v>205</v>
      </c>
    </row>
    <row r="5" spans="1:6" s="5" customFormat="1" ht="45" customHeight="1">
      <c r="A5" s="114"/>
      <c r="B5" s="114"/>
      <c r="C5" s="116"/>
      <c r="D5" s="116"/>
      <c r="E5" s="118"/>
      <c r="F5" s="118"/>
    </row>
    <row r="6" spans="1:6" s="3" customFormat="1" ht="14.25">
      <c r="A6" s="46">
        <v>1</v>
      </c>
      <c r="B6" s="51">
        <v>2</v>
      </c>
      <c r="C6" s="46">
        <v>3</v>
      </c>
      <c r="D6" s="51">
        <v>4</v>
      </c>
      <c r="E6" s="46">
        <v>5</v>
      </c>
      <c r="F6" s="51">
        <v>6</v>
      </c>
    </row>
    <row r="7" spans="1:6" s="2" customFormat="1" ht="30" customHeight="1">
      <c r="A7" s="22" t="s">
        <v>0</v>
      </c>
      <c r="B7" s="38" t="s">
        <v>174</v>
      </c>
      <c r="C7" s="97">
        <f>C8+C9+C10+C15+C16+C17+C18+C19+C20+C21+C22+C23+C24+C25+C29+C30+C32+C33</f>
        <v>5538956</v>
      </c>
      <c r="D7" s="15">
        <f>D8+D9+D10+D15+D16+D17+D18+D19+D20+D21+D22+D23+D24+D25+D29+D30+D32+D33</f>
        <v>5538956</v>
      </c>
      <c r="E7" s="12" t="str">
        <f>IF(C7=D7,"-",D7-C7)</f>
        <v>-</v>
      </c>
      <c r="F7" s="99">
        <f>IF(C7=0,"-",D7/C7)</f>
        <v>1</v>
      </c>
    </row>
    <row r="8" spans="1:8" ht="33" customHeight="1">
      <c r="A8" s="28" t="s">
        <v>1</v>
      </c>
      <c r="B8" s="76" t="s">
        <v>138</v>
      </c>
      <c r="C8" s="79">
        <v>704000</v>
      </c>
      <c r="D8" s="24">
        <f>C8</f>
        <v>704000</v>
      </c>
      <c r="E8" s="100" t="str">
        <f aca="true" t="shared" si="0" ref="E8:E63">IF(C8=D8,"-",D8-C8)</f>
        <v>-</v>
      </c>
      <c r="F8" s="101">
        <f aca="true" t="shared" si="1" ref="F8:F63">IF(C8=0,"-",D8/C8)</f>
        <v>1</v>
      </c>
      <c r="G8" s="1">
        <v>704000</v>
      </c>
      <c r="H8" s="85">
        <f>D8-G8</f>
        <v>0</v>
      </c>
    </row>
    <row r="9" spans="1:8" ht="33" customHeight="1">
      <c r="A9" s="28" t="s">
        <v>2</v>
      </c>
      <c r="B9" s="76" t="s">
        <v>139</v>
      </c>
      <c r="C9" s="79">
        <v>480600</v>
      </c>
      <c r="D9" s="24">
        <f>C9+12610</f>
        <v>493210</v>
      </c>
      <c r="E9" s="100">
        <f t="shared" si="0"/>
        <v>12610</v>
      </c>
      <c r="F9" s="101">
        <f t="shared" si="1"/>
        <v>1.0262</v>
      </c>
      <c r="G9" s="1">
        <v>493210</v>
      </c>
      <c r="H9" s="85">
        <f aca="true" t="shared" si="2" ref="H9:H36">D9-G9</f>
        <v>0</v>
      </c>
    </row>
    <row r="10" spans="1:8" ht="33" customHeight="1">
      <c r="A10" s="28" t="s">
        <v>3</v>
      </c>
      <c r="B10" s="76" t="s">
        <v>136</v>
      </c>
      <c r="C10" s="79">
        <v>2389725</v>
      </c>
      <c r="D10" s="24">
        <f>C10+160707+1317+11923+6025+4899</f>
        <v>2574596</v>
      </c>
      <c r="E10" s="100">
        <f t="shared" si="0"/>
        <v>184871</v>
      </c>
      <c r="F10" s="101">
        <f t="shared" si="1"/>
        <v>1.0774</v>
      </c>
      <c r="G10" s="1">
        <v>2574596</v>
      </c>
      <c r="H10" s="85">
        <f t="shared" si="2"/>
        <v>0</v>
      </c>
    </row>
    <row r="11" spans="1:8" ht="31.5" customHeight="1">
      <c r="A11" s="77" t="s">
        <v>58</v>
      </c>
      <c r="B11" s="88" t="s">
        <v>167</v>
      </c>
      <c r="C11" s="79">
        <v>162900</v>
      </c>
      <c r="D11" s="24">
        <f>C11+1317+11923</f>
        <v>176140</v>
      </c>
      <c r="E11" s="100">
        <f t="shared" si="0"/>
        <v>13240</v>
      </c>
      <c r="F11" s="101">
        <f t="shared" si="1"/>
        <v>1.0813</v>
      </c>
      <c r="G11" s="1">
        <v>176140</v>
      </c>
      <c r="H11" s="85">
        <f t="shared" si="2"/>
        <v>0</v>
      </c>
    </row>
    <row r="12" spans="1:8" s="91" customFormat="1" ht="31.5" customHeight="1">
      <c r="A12" s="89" t="s">
        <v>168</v>
      </c>
      <c r="B12" s="90" t="s">
        <v>171</v>
      </c>
      <c r="C12" s="79">
        <v>148190</v>
      </c>
      <c r="D12" s="24">
        <f>C12+11923</f>
        <v>160113</v>
      </c>
      <c r="E12" s="100">
        <f t="shared" si="0"/>
        <v>11923</v>
      </c>
      <c r="F12" s="101">
        <f t="shared" si="1"/>
        <v>1.0805</v>
      </c>
      <c r="G12" s="91">
        <v>160113</v>
      </c>
      <c r="H12" s="85">
        <f t="shared" si="2"/>
        <v>0</v>
      </c>
    </row>
    <row r="13" spans="1:8" ht="31.5" customHeight="1">
      <c r="A13" s="77" t="s">
        <v>169</v>
      </c>
      <c r="B13" s="88" t="s">
        <v>172</v>
      </c>
      <c r="C13" s="79">
        <v>105600</v>
      </c>
      <c r="D13" s="24">
        <f>C13+6025+4899</f>
        <v>116524</v>
      </c>
      <c r="E13" s="100">
        <f t="shared" si="0"/>
        <v>10924</v>
      </c>
      <c r="F13" s="101">
        <f t="shared" si="1"/>
        <v>1.1034</v>
      </c>
      <c r="G13" s="1">
        <v>116524</v>
      </c>
      <c r="H13" s="85">
        <f t="shared" si="2"/>
        <v>0</v>
      </c>
    </row>
    <row r="14" spans="1:8" ht="31.5" customHeight="1">
      <c r="A14" s="77" t="s">
        <v>170</v>
      </c>
      <c r="B14" s="88" t="s">
        <v>173</v>
      </c>
      <c r="C14" s="79">
        <v>47880</v>
      </c>
      <c r="D14" s="24">
        <f>C14+4899</f>
        <v>52779</v>
      </c>
      <c r="E14" s="100">
        <f t="shared" si="0"/>
        <v>4899</v>
      </c>
      <c r="F14" s="101">
        <f t="shared" si="1"/>
        <v>1.1023</v>
      </c>
      <c r="G14" s="1">
        <v>52779</v>
      </c>
      <c r="H14" s="85">
        <f t="shared" si="2"/>
        <v>0</v>
      </c>
    </row>
    <row r="15" spans="1:8" ht="33" customHeight="1">
      <c r="A15" s="28" t="s">
        <v>4</v>
      </c>
      <c r="B15" s="76" t="s">
        <v>144</v>
      </c>
      <c r="C15" s="79">
        <v>179000</v>
      </c>
      <c r="D15" s="24">
        <f>C15+27836</f>
        <v>206836</v>
      </c>
      <c r="E15" s="100">
        <f t="shared" si="0"/>
        <v>27836</v>
      </c>
      <c r="F15" s="101">
        <f t="shared" si="1"/>
        <v>1.1555</v>
      </c>
      <c r="G15" s="1">
        <v>206836</v>
      </c>
      <c r="H15" s="85">
        <f t="shared" si="2"/>
        <v>0</v>
      </c>
    </row>
    <row r="16" spans="1:8" ht="33" customHeight="1">
      <c r="A16" s="28" t="s">
        <v>5</v>
      </c>
      <c r="B16" s="76" t="s">
        <v>140</v>
      </c>
      <c r="C16" s="79">
        <v>149600</v>
      </c>
      <c r="D16" s="24">
        <f>C16+10648</f>
        <v>160248</v>
      </c>
      <c r="E16" s="100">
        <f t="shared" si="0"/>
        <v>10648</v>
      </c>
      <c r="F16" s="101">
        <f t="shared" si="1"/>
        <v>1.0712</v>
      </c>
      <c r="G16" s="1">
        <v>160248</v>
      </c>
      <c r="H16" s="85">
        <f t="shared" si="2"/>
        <v>0</v>
      </c>
    </row>
    <row r="17" spans="1:8" ht="33" customHeight="1">
      <c r="A17" s="28" t="s">
        <v>6</v>
      </c>
      <c r="B17" s="76" t="s">
        <v>146</v>
      </c>
      <c r="C17" s="79">
        <v>64200</v>
      </c>
      <c r="D17" s="24">
        <f>C17+2843</f>
        <v>67043</v>
      </c>
      <c r="E17" s="100">
        <f t="shared" si="0"/>
        <v>2843</v>
      </c>
      <c r="F17" s="101">
        <f t="shared" si="1"/>
        <v>1.0443</v>
      </c>
      <c r="G17" s="1">
        <v>67043</v>
      </c>
      <c r="H17" s="85">
        <f t="shared" si="2"/>
        <v>0</v>
      </c>
    </row>
    <row r="18" spans="1:8" ht="33" customHeight="1">
      <c r="A18" s="28" t="s">
        <v>7</v>
      </c>
      <c r="B18" s="76" t="s">
        <v>145</v>
      </c>
      <c r="C18" s="79">
        <v>39800</v>
      </c>
      <c r="D18" s="24">
        <f>C18+705</f>
        <v>40505</v>
      </c>
      <c r="E18" s="100">
        <f t="shared" si="0"/>
        <v>705</v>
      </c>
      <c r="F18" s="101">
        <f t="shared" si="1"/>
        <v>1.0177</v>
      </c>
      <c r="G18" s="1">
        <v>40505</v>
      </c>
      <c r="H18" s="85">
        <f t="shared" si="2"/>
        <v>0</v>
      </c>
    </row>
    <row r="19" spans="1:8" ht="33" customHeight="1">
      <c r="A19" s="28" t="s">
        <v>8</v>
      </c>
      <c r="B19" s="76" t="s">
        <v>141</v>
      </c>
      <c r="C19" s="79">
        <v>150200</v>
      </c>
      <c r="D19" s="24">
        <f>C19+4153</f>
        <v>154353</v>
      </c>
      <c r="E19" s="100">
        <f t="shared" si="0"/>
        <v>4153</v>
      </c>
      <c r="F19" s="101">
        <f t="shared" si="1"/>
        <v>1.0276</v>
      </c>
      <c r="G19" s="1">
        <v>154353</v>
      </c>
      <c r="H19" s="85">
        <f t="shared" si="2"/>
        <v>0</v>
      </c>
    </row>
    <row r="20" spans="1:8" ht="33" customHeight="1">
      <c r="A20" s="28" t="s">
        <v>9</v>
      </c>
      <c r="B20" s="76" t="s">
        <v>142</v>
      </c>
      <c r="C20" s="79">
        <v>60200</v>
      </c>
      <c r="D20" s="24">
        <f aca="true" t="shared" si="3" ref="D20:D35">C20</f>
        <v>60200</v>
      </c>
      <c r="E20" s="100" t="str">
        <f t="shared" si="0"/>
        <v>-</v>
      </c>
      <c r="F20" s="101">
        <f t="shared" si="1"/>
        <v>1</v>
      </c>
      <c r="G20" s="1">
        <v>60200</v>
      </c>
      <c r="H20" s="85">
        <f t="shared" si="2"/>
        <v>0</v>
      </c>
    </row>
    <row r="21" spans="1:8" ht="33" customHeight="1">
      <c r="A21" s="28" t="s">
        <v>10</v>
      </c>
      <c r="B21" s="76" t="s">
        <v>147</v>
      </c>
      <c r="C21" s="79">
        <v>3400</v>
      </c>
      <c r="D21" s="24">
        <f t="shared" si="3"/>
        <v>3400</v>
      </c>
      <c r="E21" s="100" t="str">
        <f t="shared" si="0"/>
        <v>-</v>
      </c>
      <c r="F21" s="101">
        <f t="shared" si="1"/>
        <v>1</v>
      </c>
      <c r="G21" s="1">
        <v>3400</v>
      </c>
      <c r="H21" s="85">
        <f t="shared" si="2"/>
        <v>0</v>
      </c>
    </row>
    <row r="22" spans="1:8" ht="46.5" customHeight="1">
      <c r="A22" s="28" t="s">
        <v>11</v>
      </c>
      <c r="B22" s="76" t="s">
        <v>143</v>
      </c>
      <c r="C22" s="79">
        <v>16400</v>
      </c>
      <c r="D22" s="24">
        <f>C22+329</f>
        <v>16729</v>
      </c>
      <c r="E22" s="100">
        <f t="shared" si="0"/>
        <v>329</v>
      </c>
      <c r="F22" s="101">
        <f t="shared" si="1"/>
        <v>1.0201</v>
      </c>
      <c r="G22" s="1">
        <v>16729</v>
      </c>
      <c r="H22" s="85">
        <f t="shared" si="2"/>
        <v>0</v>
      </c>
    </row>
    <row r="23" spans="1:8" ht="33" customHeight="1">
      <c r="A23" s="28" t="s">
        <v>12</v>
      </c>
      <c r="B23" s="76" t="s">
        <v>197</v>
      </c>
      <c r="C23" s="79">
        <v>147600</v>
      </c>
      <c r="D23" s="24">
        <f>C23+9221</f>
        <v>156821</v>
      </c>
      <c r="E23" s="100">
        <f t="shared" si="0"/>
        <v>9221</v>
      </c>
      <c r="F23" s="101">
        <f t="shared" si="1"/>
        <v>1.0625</v>
      </c>
      <c r="G23" s="1">
        <v>156821</v>
      </c>
      <c r="H23" s="85">
        <f t="shared" si="2"/>
        <v>0</v>
      </c>
    </row>
    <row r="24" spans="1:8" ht="33" customHeight="1">
      <c r="A24" s="28" t="s">
        <v>13</v>
      </c>
      <c r="B24" s="76" t="s">
        <v>175</v>
      </c>
      <c r="C24" s="79">
        <v>81200</v>
      </c>
      <c r="D24" s="24">
        <f t="shared" si="3"/>
        <v>81200</v>
      </c>
      <c r="E24" s="100" t="str">
        <f t="shared" si="0"/>
        <v>-</v>
      </c>
      <c r="F24" s="101">
        <f t="shared" si="1"/>
        <v>1</v>
      </c>
      <c r="G24" s="1">
        <v>81200</v>
      </c>
      <c r="H24" s="85">
        <f t="shared" si="2"/>
        <v>0</v>
      </c>
    </row>
    <row r="25" spans="1:8" ht="33" customHeight="1">
      <c r="A25" s="29" t="s">
        <v>14</v>
      </c>
      <c r="B25" s="76" t="s">
        <v>176</v>
      </c>
      <c r="C25" s="79">
        <v>734789</v>
      </c>
      <c r="D25" s="24">
        <f>C25</f>
        <v>734789</v>
      </c>
      <c r="E25" s="100" t="str">
        <f t="shared" si="0"/>
        <v>-</v>
      </c>
      <c r="F25" s="101">
        <f t="shared" si="1"/>
        <v>1</v>
      </c>
      <c r="G25" s="1">
        <v>734739</v>
      </c>
      <c r="H25" s="85">
        <f t="shared" si="2"/>
        <v>50</v>
      </c>
    </row>
    <row r="26" spans="1:8" ht="31.5">
      <c r="A26" s="27" t="s">
        <v>148</v>
      </c>
      <c r="B26" s="88" t="s">
        <v>178</v>
      </c>
      <c r="C26" s="79">
        <v>733739</v>
      </c>
      <c r="D26" s="24">
        <f t="shared" si="3"/>
        <v>733739</v>
      </c>
      <c r="E26" s="100" t="str">
        <f t="shared" si="0"/>
        <v>-</v>
      </c>
      <c r="F26" s="101">
        <f t="shared" si="1"/>
        <v>1</v>
      </c>
      <c r="G26" s="1">
        <v>733739</v>
      </c>
      <c r="H26" s="85">
        <f t="shared" si="2"/>
        <v>0</v>
      </c>
    </row>
    <row r="27" spans="1:8" ht="31.5" customHeight="1">
      <c r="A27" s="77" t="s">
        <v>177</v>
      </c>
      <c r="B27" s="88" t="s">
        <v>180</v>
      </c>
      <c r="C27" s="79">
        <v>800</v>
      </c>
      <c r="D27" s="24">
        <f t="shared" si="3"/>
        <v>800</v>
      </c>
      <c r="E27" s="100" t="str">
        <f t="shared" si="0"/>
        <v>-</v>
      </c>
      <c r="F27" s="101">
        <f t="shared" si="1"/>
        <v>1</v>
      </c>
      <c r="G27" s="1">
        <v>500</v>
      </c>
      <c r="H27" s="85">
        <f t="shared" si="2"/>
        <v>300</v>
      </c>
    </row>
    <row r="28" spans="1:8" ht="31.5" customHeight="1">
      <c r="A28" s="77" t="s">
        <v>181</v>
      </c>
      <c r="B28" s="88" t="s">
        <v>179</v>
      </c>
      <c r="C28" s="79">
        <v>250</v>
      </c>
      <c r="D28" s="24">
        <f t="shared" si="3"/>
        <v>250</v>
      </c>
      <c r="E28" s="100" t="str">
        <f t="shared" si="0"/>
        <v>-</v>
      </c>
      <c r="F28" s="101">
        <f t="shared" si="1"/>
        <v>1</v>
      </c>
      <c r="G28" s="1">
        <v>250</v>
      </c>
      <c r="H28" s="85">
        <f t="shared" si="2"/>
        <v>0</v>
      </c>
    </row>
    <row r="29" spans="1:8" ht="33" customHeight="1">
      <c r="A29" s="30" t="s">
        <v>15</v>
      </c>
      <c r="B29" s="35" t="s">
        <v>124</v>
      </c>
      <c r="C29" s="79">
        <v>0</v>
      </c>
      <c r="D29" s="24">
        <f t="shared" si="3"/>
        <v>0</v>
      </c>
      <c r="E29" s="100" t="str">
        <f t="shared" si="0"/>
        <v>-</v>
      </c>
      <c r="F29" s="101" t="str">
        <f t="shared" si="1"/>
        <v>-</v>
      </c>
      <c r="G29" s="1">
        <v>0</v>
      </c>
      <c r="H29" s="85">
        <f t="shared" si="2"/>
        <v>0</v>
      </c>
    </row>
    <row r="30" spans="1:8" ht="33" customHeight="1">
      <c r="A30" s="30" t="s">
        <v>121</v>
      </c>
      <c r="B30" s="39" t="s">
        <v>182</v>
      </c>
      <c r="C30" s="79">
        <v>0</v>
      </c>
      <c r="D30" s="24">
        <f t="shared" si="3"/>
        <v>0</v>
      </c>
      <c r="E30" s="100" t="str">
        <f t="shared" si="0"/>
        <v>-</v>
      </c>
      <c r="F30" s="101" t="str">
        <f t="shared" si="1"/>
        <v>-</v>
      </c>
      <c r="G30" s="1">
        <v>0</v>
      </c>
      <c r="H30" s="85">
        <f t="shared" si="2"/>
        <v>0</v>
      </c>
    </row>
    <row r="31" spans="1:8" ht="31.5" customHeight="1">
      <c r="A31" s="77" t="s">
        <v>183</v>
      </c>
      <c r="B31" s="88" t="s">
        <v>199</v>
      </c>
      <c r="C31" s="79">
        <v>0</v>
      </c>
      <c r="D31" s="24">
        <f t="shared" si="3"/>
        <v>0</v>
      </c>
      <c r="E31" s="100" t="str">
        <f t="shared" si="0"/>
        <v>-</v>
      </c>
      <c r="F31" s="101" t="str">
        <f t="shared" si="1"/>
        <v>-</v>
      </c>
      <c r="G31" s="1">
        <v>0</v>
      </c>
      <c r="H31" s="85">
        <f t="shared" si="2"/>
        <v>0</v>
      </c>
    </row>
    <row r="32" spans="1:8" ht="33" customHeight="1">
      <c r="A32" s="30" t="s">
        <v>122</v>
      </c>
      <c r="B32" s="36" t="s">
        <v>125</v>
      </c>
      <c r="C32" s="79">
        <v>264518</v>
      </c>
      <c r="D32" s="24">
        <f>C32-264518</f>
        <v>0</v>
      </c>
      <c r="E32" s="100">
        <f t="shared" si="0"/>
        <v>-264518</v>
      </c>
      <c r="F32" s="101">
        <f t="shared" si="1"/>
        <v>0</v>
      </c>
      <c r="G32" s="1">
        <v>0</v>
      </c>
      <c r="H32" s="85">
        <f t="shared" si="2"/>
        <v>0</v>
      </c>
    </row>
    <row r="33" spans="1:8" ht="33" customHeight="1">
      <c r="A33" s="30" t="s">
        <v>123</v>
      </c>
      <c r="B33" s="39" t="s">
        <v>198</v>
      </c>
      <c r="C33" s="79">
        <v>73724</v>
      </c>
      <c r="D33" s="24">
        <f>C33+11302</f>
        <v>85026</v>
      </c>
      <c r="E33" s="100">
        <f t="shared" si="0"/>
        <v>11302</v>
      </c>
      <c r="F33" s="101">
        <f t="shared" si="1"/>
        <v>1.1533</v>
      </c>
      <c r="G33" s="1">
        <v>85026</v>
      </c>
      <c r="H33" s="85">
        <f t="shared" si="2"/>
        <v>0</v>
      </c>
    </row>
    <row r="34" spans="1:8" s="4" customFormat="1" ht="31.5" customHeight="1">
      <c r="A34" s="31" t="s">
        <v>60</v>
      </c>
      <c r="B34" s="37" t="s">
        <v>61</v>
      </c>
      <c r="C34" s="84">
        <v>0</v>
      </c>
      <c r="D34" s="94">
        <f t="shared" si="3"/>
        <v>0</v>
      </c>
      <c r="E34" s="14" t="str">
        <f t="shared" si="0"/>
        <v>-</v>
      </c>
      <c r="F34" s="102" t="str">
        <f t="shared" si="1"/>
        <v>-</v>
      </c>
      <c r="G34" s="4">
        <v>0</v>
      </c>
      <c r="H34" s="4">
        <f t="shared" si="2"/>
        <v>0</v>
      </c>
    </row>
    <row r="35" spans="1:8" s="4" customFormat="1" ht="31.5" customHeight="1">
      <c r="A35" s="31" t="s">
        <v>59</v>
      </c>
      <c r="B35" s="37" t="s">
        <v>62</v>
      </c>
      <c r="C35" s="84">
        <v>144357</v>
      </c>
      <c r="D35" s="95">
        <f t="shared" si="3"/>
        <v>144357</v>
      </c>
      <c r="E35" s="14" t="str">
        <f t="shared" si="0"/>
        <v>-</v>
      </c>
      <c r="F35" s="102">
        <f t="shared" si="1"/>
        <v>1</v>
      </c>
      <c r="G35" s="4">
        <v>144357</v>
      </c>
      <c r="H35" s="4">
        <f t="shared" si="2"/>
        <v>0</v>
      </c>
    </row>
    <row r="36" spans="1:8" s="4" customFormat="1" ht="42.75" customHeight="1">
      <c r="A36" s="31" t="s">
        <v>184</v>
      </c>
      <c r="B36" s="37" t="s">
        <v>185</v>
      </c>
      <c r="C36" s="84">
        <f>C12+C14+C25+C31</f>
        <v>930859</v>
      </c>
      <c r="D36" s="82">
        <f>D12+D14+D25+D31</f>
        <v>947681</v>
      </c>
      <c r="E36" s="14">
        <f t="shared" si="0"/>
        <v>16822</v>
      </c>
      <c r="F36" s="102">
        <f t="shared" si="1"/>
        <v>1.0181</v>
      </c>
      <c r="G36" s="4">
        <v>947681</v>
      </c>
      <c r="H36" s="4">
        <f t="shared" si="2"/>
        <v>0</v>
      </c>
    </row>
    <row r="37" spans="1:6" s="2" customFormat="1" ht="30" customHeight="1">
      <c r="A37" s="25" t="s">
        <v>16</v>
      </c>
      <c r="B37" s="44" t="s">
        <v>195</v>
      </c>
      <c r="C37" s="23">
        <f>C38+C39+C40+C48+C50+C56+C57+C55</f>
        <v>41924</v>
      </c>
      <c r="D37" s="23">
        <f>D38+D39+D40+D48+D50+D56+D57+D55</f>
        <v>41924</v>
      </c>
      <c r="E37" s="12" t="str">
        <f t="shared" si="0"/>
        <v>-</v>
      </c>
      <c r="F37" s="103">
        <f t="shared" si="1"/>
        <v>1</v>
      </c>
    </row>
    <row r="38" spans="1:6" ht="28.5" customHeight="1">
      <c r="A38" s="30" t="s">
        <v>17</v>
      </c>
      <c r="B38" s="39" t="s">
        <v>18</v>
      </c>
      <c r="C38" s="79">
        <v>2328</v>
      </c>
      <c r="D38" s="83">
        <f>C38</f>
        <v>2328</v>
      </c>
      <c r="E38" s="100" t="str">
        <f t="shared" si="0"/>
        <v>-</v>
      </c>
      <c r="F38" s="101">
        <f t="shared" si="1"/>
        <v>1</v>
      </c>
    </row>
    <row r="39" spans="1:6" ht="28.5" customHeight="1">
      <c r="A39" s="30" t="s">
        <v>19</v>
      </c>
      <c r="B39" s="39" t="s">
        <v>20</v>
      </c>
      <c r="C39" s="79">
        <v>8085</v>
      </c>
      <c r="D39" s="83">
        <f>C39</f>
        <v>8085</v>
      </c>
      <c r="E39" s="100" t="str">
        <f t="shared" si="0"/>
        <v>-</v>
      </c>
      <c r="F39" s="101">
        <f t="shared" si="1"/>
        <v>1</v>
      </c>
    </row>
    <row r="40" spans="1:6" ht="28.5" customHeight="1">
      <c r="A40" s="30" t="s">
        <v>21</v>
      </c>
      <c r="B40" s="40" t="s">
        <v>32</v>
      </c>
      <c r="C40" s="93">
        <f>C41+C43+C44+C45+C46+C47</f>
        <v>367</v>
      </c>
      <c r="D40" s="83">
        <f>D41+D43+D44+D45+D46+D47</f>
        <v>367</v>
      </c>
      <c r="E40" s="100" t="str">
        <f t="shared" si="0"/>
        <v>-</v>
      </c>
      <c r="F40" s="101">
        <f t="shared" si="1"/>
        <v>1</v>
      </c>
    </row>
    <row r="41" spans="1:6" ht="28.5" customHeight="1">
      <c r="A41" s="41" t="s">
        <v>40</v>
      </c>
      <c r="B41" s="42" t="s">
        <v>33</v>
      </c>
      <c r="C41" s="79">
        <v>46</v>
      </c>
      <c r="D41" s="83">
        <f>C41</f>
        <v>46</v>
      </c>
      <c r="E41" s="100" t="str">
        <f t="shared" si="0"/>
        <v>-</v>
      </c>
      <c r="F41" s="101">
        <f t="shared" si="1"/>
        <v>1</v>
      </c>
    </row>
    <row r="42" spans="1:6" ht="28.5" customHeight="1">
      <c r="A42" s="41" t="s">
        <v>41</v>
      </c>
      <c r="B42" s="43" t="s">
        <v>34</v>
      </c>
      <c r="C42" s="79">
        <v>46</v>
      </c>
      <c r="D42" s="83">
        <f aca="true" t="shared" si="4" ref="D42:D61">C42</f>
        <v>46</v>
      </c>
      <c r="E42" s="100" t="str">
        <f t="shared" si="0"/>
        <v>-</v>
      </c>
      <c r="F42" s="101">
        <f t="shared" si="1"/>
        <v>1</v>
      </c>
    </row>
    <row r="43" spans="1:6" ht="28.5" customHeight="1">
      <c r="A43" s="41" t="s">
        <v>42</v>
      </c>
      <c r="B43" s="42" t="s">
        <v>35</v>
      </c>
      <c r="C43" s="79">
        <v>0</v>
      </c>
      <c r="D43" s="83">
        <f t="shared" si="4"/>
        <v>0</v>
      </c>
      <c r="E43" s="100" t="str">
        <f t="shared" si="0"/>
        <v>-</v>
      </c>
      <c r="F43" s="101" t="str">
        <f t="shared" si="1"/>
        <v>-</v>
      </c>
    </row>
    <row r="44" spans="1:6" ht="28.5" customHeight="1">
      <c r="A44" s="41" t="s">
        <v>43</v>
      </c>
      <c r="B44" s="42" t="s">
        <v>36</v>
      </c>
      <c r="C44" s="79">
        <v>0</v>
      </c>
      <c r="D44" s="83">
        <f t="shared" si="4"/>
        <v>0</v>
      </c>
      <c r="E44" s="100" t="str">
        <f t="shared" si="0"/>
        <v>-</v>
      </c>
      <c r="F44" s="101" t="str">
        <f t="shared" si="1"/>
        <v>-</v>
      </c>
    </row>
    <row r="45" spans="1:6" ht="28.5" customHeight="1">
      <c r="A45" s="41" t="s">
        <v>44</v>
      </c>
      <c r="B45" s="42" t="s">
        <v>37</v>
      </c>
      <c r="C45" s="79">
        <v>0</v>
      </c>
      <c r="D45" s="83">
        <f t="shared" si="4"/>
        <v>0</v>
      </c>
      <c r="E45" s="100" t="str">
        <f t="shared" si="0"/>
        <v>-</v>
      </c>
      <c r="F45" s="101" t="str">
        <f t="shared" si="1"/>
        <v>-</v>
      </c>
    </row>
    <row r="46" spans="1:6" ht="28.5" customHeight="1">
      <c r="A46" s="41" t="s">
        <v>45</v>
      </c>
      <c r="B46" s="42" t="s">
        <v>38</v>
      </c>
      <c r="C46" s="79">
        <v>230</v>
      </c>
      <c r="D46" s="83">
        <f t="shared" si="4"/>
        <v>230</v>
      </c>
      <c r="E46" s="100" t="str">
        <f t="shared" si="0"/>
        <v>-</v>
      </c>
      <c r="F46" s="101">
        <f t="shared" si="1"/>
        <v>1</v>
      </c>
    </row>
    <row r="47" spans="1:6" ht="28.5" customHeight="1">
      <c r="A47" s="41" t="s">
        <v>46</v>
      </c>
      <c r="B47" s="42" t="s">
        <v>39</v>
      </c>
      <c r="C47" s="79">
        <v>91</v>
      </c>
      <c r="D47" s="83">
        <f>C47</f>
        <v>91</v>
      </c>
      <c r="E47" s="100" t="str">
        <f t="shared" si="0"/>
        <v>-</v>
      </c>
      <c r="F47" s="101">
        <f t="shared" si="1"/>
        <v>1</v>
      </c>
    </row>
    <row r="48" spans="1:6" ht="28.5" customHeight="1">
      <c r="A48" s="30" t="s">
        <v>22</v>
      </c>
      <c r="B48" s="39" t="s">
        <v>186</v>
      </c>
      <c r="C48" s="79">
        <v>22159</v>
      </c>
      <c r="D48" s="83">
        <f>C48</f>
        <v>22159</v>
      </c>
      <c r="E48" s="100" t="str">
        <f t="shared" si="0"/>
        <v>-</v>
      </c>
      <c r="F48" s="101">
        <f t="shared" si="1"/>
        <v>1</v>
      </c>
    </row>
    <row r="49" spans="1:6" ht="28.5" customHeight="1">
      <c r="A49" s="41" t="s">
        <v>187</v>
      </c>
      <c r="B49" s="42" t="s">
        <v>188</v>
      </c>
      <c r="C49" s="79">
        <v>123</v>
      </c>
      <c r="D49" s="83">
        <f>C49</f>
        <v>123</v>
      </c>
      <c r="E49" s="100" t="str">
        <f t="shared" si="0"/>
        <v>-</v>
      </c>
      <c r="F49" s="101">
        <f t="shared" si="1"/>
        <v>1</v>
      </c>
    </row>
    <row r="50" spans="1:6" ht="28.5" customHeight="1">
      <c r="A50" s="30" t="s">
        <v>23</v>
      </c>
      <c r="B50" s="40" t="s">
        <v>55</v>
      </c>
      <c r="C50" s="93">
        <f>C51+C52+C53+C54</f>
        <v>4908</v>
      </c>
      <c r="D50" s="83">
        <f>D51+D52+D53+D54</f>
        <v>4908</v>
      </c>
      <c r="E50" s="100" t="str">
        <f t="shared" si="0"/>
        <v>-</v>
      </c>
      <c r="F50" s="101">
        <f t="shared" si="1"/>
        <v>1</v>
      </c>
    </row>
    <row r="51" spans="1:6" ht="28.5" customHeight="1">
      <c r="A51" s="41" t="s">
        <v>51</v>
      </c>
      <c r="B51" s="42" t="s">
        <v>47</v>
      </c>
      <c r="C51" s="83">
        <v>3809</v>
      </c>
      <c r="D51" s="83">
        <f t="shared" si="4"/>
        <v>3809</v>
      </c>
      <c r="E51" s="100" t="str">
        <f t="shared" si="0"/>
        <v>-</v>
      </c>
      <c r="F51" s="101">
        <f t="shared" si="1"/>
        <v>1</v>
      </c>
    </row>
    <row r="52" spans="1:6" ht="28.5" customHeight="1">
      <c r="A52" s="41" t="s">
        <v>52</v>
      </c>
      <c r="B52" s="42" t="s">
        <v>48</v>
      </c>
      <c r="C52" s="83">
        <v>543</v>
      </c>
      <c r="D52" s="83">
        <f t="shared" si="4"/>
        <v>543</v>
      </c>
      <c r="E52" s="100" t="str">
        <f t="shared" si="0"/>
        <v>-</v>
      </c>
      <c r="F52" s="101">
        <f t="shared" si="1"/>
        <v>1</v>
      </c>
    </row>
    <row r="53" spans="1:6" ht="28.5" customHeight="1">
      <c r="A53" s="41" t="s">
        <v>53</v>
      </c>
      <c r="B53" s="42" t="s">
        <v>49</v>
      </c>
      <c r="C53" s="83">
        <v>0</v>
      </c>
      <c r="D53" s="83">
        <f t="shared" si="4"/>
        <v>0</v>
      </c>
      <c r="E53" s="100" t="str">
        <f t="shared" si="0"/>
        <v>-</v>
      </c>
      <c r="F53" s="101" t="str">
        <f t="shared" si="1"/>
        <v>-</v>
      </c>
    </row>
    <row r="54" spans="1:6" ht="28.5" customHeight="1">
      <c r="A54" s="41" t="s">
        <v>54</v>
      </c>
      <c r="B54" s="42" t="s">
        <v>50</v>
      </c>
      <c r="C54" s="83">
        <v>556</v>
      </c>
      <c r="D54" s="83">
        <f t="shared" si="4"/>
        <v>556</v>
      </c>
      <c r="E54" s="100" t="str">
        <f t="shared" si="0"/>
        <v>-</v>
      </c>
      <c r="F54" s="101">
        <f t="shared" si="1"/>
        <v>1</v>
      </c>
    </row>
    <row r="55" spans="1:6" ht="28.5" customHeight="1">
      <c r="A55" s="30" t="s">
        <v>24</v>
      </c>
      <c r="B55" s="39" t="s">
        <v>25</v>
      </c>
      <c r="C55" s="79">
        <v>0</v>
      </c>
      <c r="D55" s="83">
        <f>C55</f>
        <v>0</v>
      </c>
      <c r="E55" s="100" t="str">
        <f t="shared" si="0"/>
        <v>-</v>
      </c>
      <c r="F55" s="101" t="str">
        <f t="shared" si="1"/>
        <v>-</v>
      </c>
    </row>
    <row r="56" spans="1:6" ht="28.5" customHeight="1">
      <c r="A56" s="30" t="s">
        <v>26</v>
      </c>
      <c r="B56" s="39" t="s">
        <v>189</v>
      </c>
      <c r="C56" s="79">
        <v>3551</v>
      </c>
      <c r="D56" s="83">
        <f>C56</f>
        <v>3551</v>
      </c>
      <c r="E56" s="100" t="str">
        <f t="shared" si="0"/>
        <v>-</v>
      </c>
      <c r="F56" s="104">
        <f t="shared" si="1"/>
        <v>1</v>
      </c>
    </row>
    <row r="57" spans="1:6" ht="28.5" customHeight="1">
      <c r="A57" s="30" t="s">
        <v>27</v>
      </c>
      <c r="B57" s="39" t="s">
        <v>28</v>
      </c>
      <c r="C57" s="79">
        <v>526</v>
      </c>
      <c r="D57" s="83">
        <f>C57</f>
        <v>526</v>
      </c>
      <c r="E57" s="100" t="str">
        <f t="shared" si="0"/>
        <v>-</v>
      </c>
      <c r="F57" s="101">
        <f t="shared" si="1"/>
        <v>1</v>
      </c>
    </row>
    <row r="58" spans="1:6" s="2" customFormat="1" ht="30" customHeight="1">
      <c r="A58" s="32" t="s">
        <v>29</v>
      </c>
      <c r="B58" s="44" t="s">
        <v>190</v>
      </c>
      <c r="C58" s="81">
        <f>C59+C60+C61+C62</f>
        <v>23600</v>
      </c>
      <c r="D58" s="26">
        <f>D59+D60+D61+D62</f>
        <v>23600</v>
      </c>
      <c r="E58" s="12" t="str">
        <f t="shared" si="0"/>
        <v>-</v>
      </c>
      <c r="F58" s="105">
        <f t="shared" si="1"/>
        <v>1</v>
      </c>
    </row>
    <row r="59" spans="1:6" ht="42" customHeight="1">
      <c r="A59" s="30" t="s">
        <v>104</v>
      </c>
      <c r="B59" s="39" t="s">
        <v>126</v>
      </c>
      <c r="C59" s="79">
        <v>100</v>
      </c>
      <c r="D59" s="83">
        <f t="shared" si="4"/>
        <v>100</v>
      </c>
      <c r="E59" s="75" t="str">
        <f t="shared" si="0"/>
        <v>-</v>
      </c>
      <c r="F59" s="101">
        <f t="shared" si="1"/>
        <v>1</v>
      </c>
    </row>
    <row r="60" spans="1:6" ht="31.5" customHeight="1">
      <c r="A60" s="30" t="s">
        <v>30</v>
      </c>
      <c r="B60" s="39" t="s">
        <v>57</v>
      </c>
      <c r="C60" s="79">
        <v>20000</v>
      </c>
      <c r="D60" s="83">
        <f t="shared" si="4"/>
        <v>20000</v>
      </c>
      <c r="E60" s="75" t="str">
        <f t="shared" si="0"/>
        <v>-</v>
      </c>
      <c r="F60" s="101">
        <f t="shared" si="1"/>
        <v>1</v>
      </c>
    </row>
    <row r="61" spans="1:6" ht="31.5" customHeight="1">
      <c r="A61" s="30" t="s">
        <v>31</v>
      </c>
      <c r="B61" s="39" t="s">
        <v>106</v>
      </c>
      <c r="C61" s="79">
        <v>0</v>
      </c>
      <c r="D61" s="83">
        <f t="shared" si="4"/>
        <v>0</v>
      </c>
      <c r="E61" s="75" t="str">
        <f t="shared" si="0"/>
        <v>-</v>
      </c>
      <c r="F61" s="101" t="str">
        <f t="shared" si="1"/>
        <v>-</v>
      </c>
    </row>
    <row r="62" spans="1:6" ht="31.5" customHeight="1">
      <c r="A62" s="30" t="s">
        <v>105</v>
      </c>
      <c r="B62" s="39" t="s">
        <v>107</v>
      </c>
      <c r="C62" s="79">
        <v>3500</v>
      </c>
      <c r="D62" s="83">
        <f>C62</f>
        <v>3500</v>
      </c>
      <c r="E62" s="75" t="str">
        <f t="shared" si="0"/>
        <v>-</v>
      </c>
      <c r="F62" s="101">
        <f t="shared" si="1"/>
        <v>1</v>
      </c>
    </row>
    <row r="63" spans="1:6" ht="32.25" customHeight="1">
      <c r="A63" s="32" t="s">
        <v>112</v>
      </c>
      <c r="B63" s="44" t="s">
        <v>133</v>
      </c>
      <c r="C63" s="81">
        <v>3200</v>
      </c>
      <c r="D63" s="26">
        <f>C63</f>
        <v>3200</v>
      </c>
      <c r="E63" s="12" t="str">
        <f t="shared" si="0"/>
        <v>-</v>
      </c>
      <c r="F63" s="105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63"/>
  <sheetViews>
    <sheetView showGridLines="0" view="pageBreakPreview" zoomScale="55" zoomScaleNormal="70" zoomScaleSheetLayoutView="55" zoomScalePageLayoutView="0" workbookViewId="0" topLeftCell="A1">
      <pane xSplit="2" ySplit="7" topLeftCell="C12" activePane="bottomRight" state="frozen"/>
      <selection pane="topLeft" activeCell="A2" sqref="A2:B2"/>
      <selection pane="topRight" activeCell="A2" sqref="A2:B2"/>
      <selection pane="bottomLeft" activeCell="A2" sqref="A2:B2"/>
      <selection pane="bottomRight" activeCell="M21" sqref="M21"/>
    </sheetView>
  </sheetViews>
  <sheetFormatPr defaultColWidth="9.00390625" defaultRowHeight="12.75"/>
  <cols>
    <col min="1" max="1" width="9.125" style="1" customWidth="1"/>
    <col min="2" max="2" width="125.875" style="1" customWidth="1"/>
    <col min="3" max="3" width="25.75390625" style="1" customWidth="1"/>
    <col min="4" max="4" width="26.875" style="1" customWidth="1"/>
    <col min="5" max="6" width="20.75390625" style="1" customWidth="1"/>
    <col min="7" max="7" width="9.125" style="1" customWidth="1"/>
    <col min="8" max="8" width="9.375" style="1" bestFit="1" customWidth="1"/>
    <col min="9" max="16384" width="9.125" style="1" customWidth="1"/>
  </cols>
  <sheetData>
    <row r="1" spans="1:6" s="47" customFormat="1" ht="54.75" customHeight="1">
      <c r="A1" s="119" t="str">
        <f>NFZ!A1</f>
        <v>URUCHOMIENIE REZERWY NA KOSZTY ŚWIADCZEŃ OPIEKI ZDROWOTNEJ W RAMACH MIGRACJI UBEZPIECZONYCH Z DNIA 30 SIERPNIA 2012 R. W PLANIE FINANSOWYM NARODOWEGO FUNDUSZU ZDROWIA NA 2013 ROK</v>
      </c>
      <c r="B1" s="119"/>
      <c r="C1" s="119"/>
      <c r="D1" s="119"/>
      <c r="E1" s="119"/>
      <c r="F1" s="119"/>
    </row>
    <row r="2" spans="1:3" s="49" customFormat="1" ht="33" customHeight="1">
      <c r="A2" s="87" t="s">
        <v>78</v>
      </c>
      <c r="B2" s="87"/>
      <c r="C2" s="96"/>
    </row>
    <row r="3" spans="1:6" ht="33" customHeight="1">
      <c r="A3" s="7"/>
      <c r="B3" s="8"/>
      <c r="C3" s="86"/>
      <c r="D3" s="86"/>
      <c r="E3" s="86" t="s">
        <v>166</v>
      </c>
      <c r="F3" s="9"/>
    </row>
    <row r="4" spans="1:6" s="5" customFormat="1" ht="45" customHeight="1">
      <c r="A4" s="114" t="s">
        <v>137</v>
      </c>
      <c r="B4" s="114" t="s">
        <v>56</v>
      </c>
      <c r="C4" s="115" t="s">
        <v>206</v>
      </c>
      <c r="D4" s="115" t="s">
        <v>203</v>
      </c>
      <c r="E4" s="118" t="s">
        <v>204</v>
      </c>
      <c r="F4" s="118" t="s">
        <v>205</v>
      </c>
    </row>
    <row r="5" spans="1:6" s="5" customFormat="1" ht="45" customHeight="1">
      <c r="A5" s="114"/>
      <c r="B5" s="114"/>
      <c r="C5" s="116"/>
      <c r="D5" s="116"/>
      <c r="E5" s="118"/>
      <c r="F5" s="118"/>
    </row>
    <row r="6" spans="1:6" s="3" customFormat="1" ht="14.25">
      <c r="A6" s="46">
        <v>1</v>
      </c>
      <c r="B6" s="51">
        <v>2</v>
      </c>
      <c r="C6" s="46">
        <v>3</v>
      </c>
      <c r="D6" s="51">
        <v>4</v>
      </c>
      <c r="E6" s="46">
        <v>5</v>
      </c>
      <c r="F6" s="51">
        <v>6</v>
      </c>
    </row>
    <row r="7" spans="1:6" s="2" customFormat="1" ht="30" customHeight="1">
      <c r="A7" s="22" t="s">
        <v>0</v>
      </c>
      <c r="B7" s="38" t="s">
        <v>174</v>
      </c>
      <c r="C7" s="97">
        <f>C8+C9+C10+C15+C16+C17+C18+C19+C20+C21+C22+C23+C24+C25+C29+C30+C32+C33</f>
        <v>2786282</v>
      </c>
      <c r="D7" s="15">
        <f>D8+D9+D10+D15+D16+D17+D18+D19+D20+D21+D22+D23+D24+D25+D29+D30+D32+D33</f>
        <v>2786282</v>
      </c>
      <c r="E7" s="12" t="str">
        <f>IF(C7=D7,"-",D7-C7)</f>
        <v>-</v>
      </c>
      <c r="F7" s="99">
        <f>IF(C7=0,"-",D7/C7)</f>
        <v>1</v>
      </c>
    </row>
    <row r="8" spans="1:8" ht="33" customHeight="1">
      <c r="A8" s="28" t="s">
        <v>1</v>
      </c>
      <c r="B8" s="76" t="s">
        <v>138</v>
      </c>
      <c r="C8" s="79">
        <v>339385</v>
      </c>
      <c r="D8" s="24">
        <f>C8</f>
        <v>339385</v>
      </c>
      <c r="E8" s="100" t="str">
        <f aca="true" t="shared" si="0" ref="E8:E63">IF(C8=D8,"-",D8-C8)</f>
        <v>-</v>
      </c>
      <c r="F8" s="101">
        <f aca="true" t="shared" si="1" ref="F8:F63">IF(C8=0,"-",D8/C8)</f>
        <v>1</v>
      </c>
      <c r="G8" s="1">
        <v>339385</v>
      </c>
      <c r="H8" s="85">
        <f>D8-G8</f>
        <v>0</v>
      </c>
    </row>
    <row r="9" spans="1:8" ht="33" customHeight="1">
      <c r="A9" s="28" t="s">
        <v>2</v>
      </c>
      <c r="B9" s="76" t="s">
        <v>139</v>
      </c>
      <c r="C9" s="79">
        <v>217313</v>
      </c>
      <c r="D9" s="24">
        <f>C9+8971</f>
        <v>226284</v>
      </c>
      <c r="E9" s="100">
        <f t="shared" si="0"/>
        <v>8971</v>
      </c>
      <c r="F9" s="101">
        <f t="shared" si="1"/>
        <v>1.0413</v>
      </c>
      <c r="G9" s="1">
        <v>226284</v>
      </c>
      <c r="H9" s="85">
        <f aca="true" t="shared" si="2" ref="H9:H36">D9-G9</f>
        <v>0</v>
      </c>
    </row>
    <row r="10" spans="1:8" ht="33" customHeight="1">
      <c r="A10" s="28" t="s">
        <v>3</v>
      </c>
      <c r="B10" s="76" t="s">
        <v>136</v>
      </c>
      <c r="C10" s="79">
        <v>1245833</v>
      </c>
      <c r="D10" s="24">
        <f>C10+110100+519+4603+3671+3679</f>
        <v>1368405</v>
      </c>
      <c r="E10" s="100">
        <f t="shared" si="0"/>
        <v>122572</v>
      </c>
      <c r="F10" s="101">
        <f t="shared" si="1"/>
        <v>1.0984</v>
      </c>
      <c r="G10" s="1">
        <v>1368405</v>
      </c>
      <c r="H10" s="85">
        <f t="shared" si="2"/>
        <v>0</v>
      </c>
    </row>
    <row r="11" spans="1:8" ht="31.5" customHeight="1">
      <c r="A11" s="77" t="s">
        <v>58</v>
      </c>
      <c r="B11" s="88" t="s">
        <v>167</v>
      </c>
      <c r="C11" s="79">
        <v>71878</v>
      </c>
      <c r="D11" s="24">
        <f>C11+519+4603</f>
        <v>77000</v>
      </c>
      <c r="E11" s="100">
        <f t="shared" si="0"/>
        <v>5122</v>
      </c>
      <c r="F11" s="101">
        <f t="shared" si="1"/>
        <v>1.0713</v>
      </c>
      <c r="G11" s="1">
        <v>77000</v>
      </c>
      <c r="H11" s="85">
        <f t="shared" si="2"/>
        <v>0</v>
      </c>
    </row>
    <row r="12" spans="1:8" ht="31.5" customHeight="1">
      <c r="A12" s="77" t="s">
        <v>168</v>
      </c>
      <c r="B12" s="88" t="s">
        <v>171</v>
      </c>
      <c r="C12" s="79">
        <v>63397</v>
      </c>
      <c r="D12" s="24">
        <f>C12+4603</f>
        <v>68000</v>
      </c>
      <c r="E12" s="100">
        <f t="shared" si="0"/>
        <v>4603</v>
      </c>
      <c r="F12" s="101">
        <f t="shared" si="1"/>
        <v>1.0726</v>
      </c>
      <c r="G12" s="1">
        <v>68000</v>
      </c>
      <c r="H12" s="85">
        <f t="shared" si="2"/>
        <v>0</v>
      </c>
    </row>
    <row r="13" spans="1:8" ht="31.5" customHeight="1">
      <c r="A13" s="77" t="s">
        <v>169</v>
      </c>
      <c r="B13" s="88" t="s">
        <v>172</v>
      </c>
      <c r="C13" s="79">
        <v>47650</v>
      </c>
      <c r="D13" s="24">
        <f>C13+3671+3679</f>
        <v>55000</v>
      </c>
      <c r="E13" s="100">
        <f t="shared" si="0"/>
        <v>7350</v>
      </c>
      <c r="F13" s="101">
        <f t="shared" si="1"/>
        <v>1.1542</v>
      </c>
      <c r="G13" s="1">
        <v>55000</v>
      </c>
      <c r="H13" s="85">
        <f t="shared" si="2"/>
        <v>0</v>
      </c>
    </row>
    <row r="14" spans="1:8" ht="31.5" customHeight="1">
      <c r="A14" s="77" t="s">
        <v>170</v>
      </c>
      <c r="B14" s="88" t="s">
        <v>173</v>
      </c>
      <c r="C14" s="79">
        <v>19321</v>
      </c>
      <c r="D14" s="24">
        <f>C14+3679</f>
        <v>23000</v>
      </c>
      <c r="E14" s="100">
        <f t="shared" si="0"/>
        <v>3679</v>
      </c>
      <c r="F14" s="101">
        <f t="shared" si="1"/>
        <v>1.1904</v>
      </c>
      <c r="G14" s="1">
        <v>23000</v>
      </c>
      <c r="H14" s="85">
        <f t="shared" si="2"/>
        <v>0</v>
      </c>
    </row>
    <row r="15" spans="1:8" ht="33" customHeight="1">
      <c r="A15" s="28" t="s">
        <v>4</v>
      </c>
      <c r="B15" s="76" t="s">
        <v>144</v>
      </c>
      <c r="C15" s="79">
        <v>74098</v>
      </c>
      <c r="D15" s="24">
        <f>C15+18041</f>
        <v>92139</v>
      </c>
      <c r="E15" s="100">
        <f t="shared" si="0"/>
        <v>18041</v>
      </c>
      <c r="F15" s="101">
        <f t="shared" si="1"/>
        <v>1.2435</v>
      </c>
      <c r="G15" s="1">
        <v>92139</v>
      </c>
      <c r="H15" s="85">
        <f t="shared" si="2"/>
        <v>0</v>
      </c>
    </row>
    <row r="16" spans="1:8" ht="33" customHeight="1">
      <c r="A16" s="28" t="s">
        <v>5</v>
      </c>
      <c r="B16" s="76" t="s">
        <v>140</v>
      </c>
      <c r="C16" s="79">
        <v>67088</v>
      </c>
      <c r="D16" s="24">
        <f>C16+5212</f>
        <v>72300</v>
      </c>
      <c r="E16" s="100">
        <f t="shared" si="0"/>
        <v>5212</v>
      </c>
      <c r="F16" s="101">
        <f t="shared" si="1"/>
        <v>1.0777</v>
      </c>
      <c r="G16" s="1">
        <v>72300</v>
      </c>
      <c r="H16" s="85">
        <f t="shared" si="2"/>
        <v>0</v>
      </c>
    </row>
    <row r="17" spans="1:8" ht="33" customHeight="1">
      <c r="A17" s="28" t="s">
        <v>6</v>
      </c>
      <c r="B17" s="76" t="s">
        <v>146</v>
      </c>
      <c r="C17" s="79">
        <v>33297</v>
      </c>
      <c r="D17" s="24">
        <f>C17+3037</f>
        <v>36334</v>
      </c>
      <c r="E17" s="100">
        <f t="shared" si="0"/>
        <v>3037</v>
      </c>
      <c r="F17" s="101">
        <f t="shared" si="1"/>
        <v>1.0912</v>
      </c>
      <c r="G17" s="1">
        <v>36334</v>
      </c>
      <c r="H17" s="85">
        <f t="shared" si="2"/>
        <v>0</v>
      </c>
    </row>
    <row r="18" spans="1:8" ht="33" customHeight="1">
      <c r="A18" s="28" t="s">
        <v>7</v>
      </c>
      <c r="B18" s="76" t="s">
        <v>145</v>
      </c>
      <c r="C18" s="79">
        <v>8868</v>
      </c>
      <c r="D18" s="24">
        <f>C18+899</f>
        <v>9767</v>
      </c>
      <c r="E18" s="100">
        <f t="shared" si="0"/>
        <v>899</v>
      </c>
      <c r="F18" s="101">
        <f t="shared" si="1"/>
        <v>1.1014</v>
      </c>
      <c r="G18" s="1">
        <v>9767</v>
      </c>
      <c r="H18" s="85">
        <f t="shared" si="2"/>
        <v>0</v>
      </c>
    </row>
    <row r="19" spans="1:8" ht="33" customHeight="1">
      <c r="A19" s="28" t="s">
        <v>8</v>
      </c>
      <c r="B19" s="76" t="s">
        <v>141</v>
      </c>
      <c r="C19" s="79">
        <v>88432</v>
      </c>
      <c r="D19" s="24">
        <f>C19+2295</f>
        <v>90727</v>
      </c>
      <c r="E19" s="100">
        <f t="shared" si="0"/>
        <v>2295</v>
      </c>
      <c r="F19" s="101">
        <f t="shared" si="1"/>
        <v>1.026</v>
      </c>
      <c r="G19" s="1">
        <v>90727</v>
      </c>
      <c r="H19" s="85">
        <f t="shared" si="2"/>
        <v>0</v>
      </c>
    </row>
    <row r="20" spans="1:8" ht="33" customHeight="1">
      <c r="A20" s="28" t="s">
        <v>9</v>
      </c>
      <c r="B20" s="76" t="s">
        <v>142</v>
      </c>
      <c r="C20" s="79">
        <v>21000</v>
      </c>
      <c r="D20" s="24">
        <f aca="true" t="shared" si="3" ref="D20:D35">C20</f>
        <v>21000</v>
      </c>
      <c r="E20" s="100" t="str">
        <f t="shared" si="0"/>
        <v>-</v>
      </c>
      <c r="F20" s="101">
        <f t="shared" si="1"/>
        <v>1</v>
      </c>
      <c r="G20" s="1">
        <v>21000</v>
      </c>
      <c r="H20" s="85">
        <f t="shared" si="2"/>
        <v>0</v>
      </c>
    </row>
    <row r="21" spans="1:8" ht="33" customHeight="1">
      <c r="A21" s="28" t="s">
        <v>10</v>
      </c>
      <c r="B21" s="76" t="s">
        <v>147</v>
      </c>
      <c r="C21" s="79">
        <v>2400</v>
      </c>
      <c r="D21" s="24">
        <f t="shared" si="3"/>
        <v>2400</v>
      </c>
      <c r="E21" s="100" t="str">
        <f t="shared" si="0"/>
        <v>-</v>
      </c>
      <c r="F21" s="101">
        <f t="shared" si="1"/>
        <v>1</v>
      </c>
      <c r="G21" s="1">
        <v>2400</v>
      </c>
      <c r="H21" s="85">
        <f t="shared" si="2"/>
        <v>0</v>
      </c>
    </row>
    <row r="22" spans="1:8" ht="46.5" customHeight="1">
      <c r="A22" s="28" t="s">
        <v>11</v>
      </c>
      <c r="B22" s="76" t="s">
        <v>143</v>
      </c>
      <c r="C22" s="79">
        <v>9319</v>
      </c>
      <c r="D22" s="24">
        <f>C22+168</f>
        <v>9487</v>
      </c>
      <c r="E22" s="100">
        <f t="shared" si="0"/>
        <v>168</v>
      </c>
      <c r="F22" s="101">
        <f t="shared" si="1"/>
        <v>1.018</v>
      </c>
      <c r="G22" s="1">
        <v>9487</v>
      </c>
      <c r="H22" s="85">
        <f t="shared" si="2"/>
        <v>0</v>
      </c>
    </row>
    <row r="23" spans="1:8" ht="33" customHeight="1">
      <c r="A23" s="28" t="s">
        <v>12</v>
      </c>
      <c r="B23" s="76" t="s">
        <v>197</v>
      </c>
      <c r="C23" s="79">
        <v>66270</v>
      </c>
      <c r="D23" s="24">
        <f>C23+11575</f>
        <v>77845</v>
      </c>
      <c r="E23" s="100">
        <f t="shared" si="0"/>
        <v>11575</v>
      </c>
      <c r="F23" s="101">
        <f t="shared" si="1"/>
        <v>1.1747</v>
      </c>
      <c r="G23" s="1">
        <v>77845</v>
      </c>
      <c r="H23" s="85">
        <f t="shared" si="2"/>
        <v>0</v>
      </c>
    </row>
    <row r="24" spans="1:8" ht="33" customHeight="1">
      <c r="A24" s="28" t="s">
        <v>13</v>
      </c>
      <c r="B24" s="76" t="s">
        <v>175</v>
      </c>
      <c r="C24" s="79">
        <v>35373</v>
      </c>
      <c r="D24" s="24">
        <f t="shared" si="3"/>
        <v>35373</v>
      </c>
      <c r="E24" s="100" t="str">
        <f t="shared" si="0"/>
        <v>-</v>
      </c>
      <c r="F24" s="101">
        <f t="shared" si="1"/>
        <v>1</v>
      </c>
      <c r="G24" s="1">
        <v>35373</v>
      </c>
      <c r="H24" s="85">
        <f t="shared" si="2"/>
        <v>0</v>
      </c>
    </row>
    <row r="25" spans="1:8" ht="33" customHeight="1">
      <c r="A25" s="29" t="s">
        <v>14</v>
      </c>
      <c r="B25" s="76" t="s">
        <v>176</v>
      </c>
      <c r="C25" s="79">
        <v>393181</v>
      </c>
      <c r="D25" s="24">
        <f>C25</f>
        <v>393181</v>
      </c>
      <c r="E25" s="100" t="str">
        <f t="shared" si="0"/>
        <v>-</v>
      </c>
      <c r="F25" s="101">
        <f t="shared" si="1"/>
        <v>1</v>
      </c>
      <c r="G25" s="1">
        <v>393181</v>
      </c>
      <c r="H25" s="85">
        <f t="shared" si="2"/>
        <v>0</v>
      </c>
    </row>
    <row r="26" spans="1:8" ht="31.5">
      <c r="A26" s="27" t="s">
        <v>148</v>
      </c>
      <c r="B26" s="88" t="s">
        <v>178</v>
      </c>
      <c r="C26" s="79">
        <v>392671</v>
      </c>
      <c r="D26" s="24">
        <f t="shared" si="3"/>
        <v>392671</v>
      </c>
      <c r="E26" s="100" t="str">
        <f t="shared" si="0"/>
        <v>-</v>
      </c>
      <c r="F26" s="101">
        <f t="shared" si="1"/>
        <v>1</v>
      </c>
      <c r="G26" s="1">
        <v>392671</v>
      </c>
      <c r="H26" s="85">
        <f t="shared" si="2"/>
        <v>0</v>
      </c>
    </row>
    <row r="27" spans="1:8" ht="31.5" customHeight="1">
      <c r="A27" s="77" t="s">
        <v>177</v>
      </c>
      <c r="B27" s="88" t="s">
        <v>180</v>
      </c>
      <c r="C27" s="79">
        <v>286</v>
      </c>
      <c r="D27" s="24">
        <f t="shared" si="3"/>
        <v>286</v>
      </c>
      <c r="E27" s="100" t="str">
        <f t="shared" si="0"/>
        <v>-</v>
      </c>
      <c r="F27" s="101">
        <f t="shared" si="1"/>
        <v>1</v>
      </c>
      <c r="G27" s="1">
        <v>286</v>
      </c>
      <c r="H27" s="85">
        <f t="shared" si="2"/>
        <v>0</v>
      </c>
    </row>
    <row r="28" spans="1:8" ht="31.5" customHeight="1">
      <c r="A28" s="77" t="s">
        <v>181</v>
      </c>
      <c r="B28" s="88" t="s">
        <v>179</v>
      </c>
      <c r="C28" s="79">
        <v>224</v>
      </c>
      <c r="D28" s="24">
        <f t="shared" si="3"/>
        <v>224</v>
      </c>
      <c r="E28" s="100" t="str">
        <f t="shared" si="0"/>
        <v>-</v>
      </c>
      <c r="F28" s="101">
        <f t="shared" si="1"/>
        <v>1</v>
      </c>
      <c r="G28" s="1">
        <v>224</v>
      </c>
      <c r="H28" s="85">
        <f t="shared" si="2"/>
        <v>0</v>
      </c>
    </row>
    <row r="29" spans="1:8" ht="33" customHeight="1">
      <c r="A29" s="30" t="s">
        <v>15</v>
      </c>
      <c r="B29" s="35" t="s">
        <v>124</v>
      </c>
      <c r="C29" s="79">
        <v>0</v>
      </c>
      <c r="D29" s="24">
        <f t="shared" si="3"/>
        <v>0</v>
      </c>
      <c r="E29" s="100" t="str">
        <f t="shared" si="0"/>
        <v>-</v>
      </c>
      <c r="F29" s="101" t="str">
        <f t="shared" si="1"/>
        <v>-</v>
      </c>
      <c r="G29" s="1">
        <v>0</v>
      </c>
      <c r="H29" s="85">
        <f t="shared" si="2"/>
        <v>0</v>
      </c>
    </row>
    <row r="30" spans="1:8" ht="33" customHeight="1">
      <c r="A30" s="30" t="s">
        <v>121</v>
      </c>
      <c r="B30" s="39" t="s">
        <v>182</v>
      </c>
      <c r="C30" s="79">
        <v>0</v>
      </c>
      <c r="D30" s="24">
        <f t="shared" si="3"/>
        <v>0</v>
      </c>
      <c r="E30" s="100" t="str">
        <f t="shared" si="0"/>
        <v>-</v>
      </c>
      <c r="F30" s="101" t="str">
        <f t="shared" si="1"/>
        <v>-</v>
      </c>
      <c r="G30" s="1">
        <v>0</v>
      </c>
      <c r="H30" s="85">
        <f t="shared" si="2"/>
        <v>0</v>
      </c>
    </row>
    <row r="31" spans="1:8" ht="31.5" customHeight="1">
      <c r="A31" s="77" t="s">
        <v>183</v>
      </c>
      <c r="B31" s="88" t="s">
        <v>199</v>
      </c>
      <c r="C31" s="79">
        <v>0</v>
      </c>
      <c r="D31" s="24">
        <f t="shared" si="3"/>
        <v>0</v>
      </c>
      <c r="E31" s="100" t="str">
        <f t="shared" si="0"/>
        <v>-</v>
      </c>
      <c r="F31" s="101" t="str">
        <f t="shared" si="1"/>
        <v>-</v>
      </c>
      <c r="G31" s="1">
        <v>0</v>
      </c>
      <c r="H31" s="85">
        <f t="shared" si="2"/>
        <v>0</v>
      </c>
    </row>
    <row r="32" spans="1:8" ht="33" customHeight="1">
      <c r="A32" s="30" t="s">
        <v>122</v>
      </c>
      <c r="B32" s="36" t="s">
        <v>125</v>
      </c>
      <c r="C32" s="79">
        <v>184425</v>
      </c>
      <c r="D32" s="24">
        <f>C32-184425</f>
        <v>0</v>
      </c>
      <c r="E32" s="100">
        <f t="shared" si="0"/>
        <v>-184425</v>
      </c>
      <c r="F32" s="101">
        <f t="shared" si="1"/>
        <v>0</v>
      </c>
      <c r="G32" s="1">
        <v>0</v>
      </c>
      <c r="H32" s="85">
        <f t="shared" si="2"/>
        <v>0</v>
      </c>
    </row>
    <row r="33" spans="1:8" ht="33" customHeight="1">
      <c r="A33" s="30" t="s">
        <v>123</v>
      </c>
      <c r="B33" s="39" t="s">
        <v>198</v>
      </c>
      <c r="C33" s="79">
        <v>0</v>
      </c>
      <c r="D33" s="24">
        <f>C33+11655</f>
        <v>11655</v>
      </c>
      <c r="E33" s="100">
        <f t="shared" si="0"/>
        <v>11655</v>
      </c>
      <c r="F33" s="101" t="str">
        <f t="shared" si="1"/>
        <v>-</v>
      </c>
      <c r="G33" s="1">
        <v>11655</v>
      </c>
      <c r="H33" s="85">
        <f t="shared" si="2"/>
        <v>0</v>
      </c>
    </row>
    <row r="34" spans="1:8" s="4" customFormat="1" ht="31.5" customHeight="1">
      <c r="A34" s="31" t="s">
        <v>60</v>
      </c>
      <c r="B34" s="37" t="s">
        <v>61</v>
      </c>
      <c r="C34" s="82">
        <v>0</v>
      </c>
      <c r="D34" s="94">
        <f t="shared" si="3"/>
        <v>0</v>
      </c>
      <c r="E34" s="14" t="str">
        <f t="shared" si="0"/>
        <v>-</v>
      </c>
      <c r="F34" s="102" t="str">
        <f t="shared" si="1"/>
        <v>-</v>
      </c>
      <c r="G34" s="4">
        <v>0</v>
      </c>
      <c r="H34" s="85">
        <f t="shared" si="2"/>
        <v>0</v>
      </c>
    </row>
    <row r="35" spans="1:8" s="4" customFormat="1" ht="31.5" customHeight="1">
      <c r="A35" s="31" t="s">
        <v>59</v>
      </c>
      <c r="B35" s="37" t="s">
        <v>62</v>
      </c>
      <c r="C35" s="82">
        <v>99997</v>
      </c>
      <c r="D35" s="95">
        <f t="shared" si="3"/>
        <v>99997</v>
      </c>
      <c r="E35" s="14" t="str">
        <f t="shared" si="0"/>
        <v>-</v>
      </c>
      <c r="F35" s="102">
        <f t="shared" si="1"/>
        <v>1</v>
      </c>
      <c r="G35" s="4">
        <v>99997</v>
      </c>
      <c r="H35" s="85">
        <f t="shared" si="2"/>
        <v>0</v>
      </c>
    </row>
    <row r="36" spans="1:8" s="4" customFormat="1" ht="42.75" customHeight="1">
      <c r="A36" s="31" t="s">
        <v>184</v>
      </c>
      <c r="B36" s="37" t="s">
        <v>185</v>
      </c>
      <c r="C36" s="82">
        <f>C12+C14+C25+C31</f>
        <v>475899</v>
      </c>
      <c r="D36" s="82">
        <f>D12+D14+D25+D31</f>
        <v>484181</v>
      </c>
      <c r="E36" s="14">
        <f t="shared" si="0"/>
        <v>8282</v>
      </c>
      <c r="F36" s="102">
        <f t="shared" si="1"/>
        <v>1.0174</v>
      </c>
      <c r="G36" s="4">
        <v>484181</v>
      </c>
      <c r="H36" s="85">
        <f t="shared" si="2"/>
        <v>0</v>
      </c>
    </row>
    <row r="37" spans="1:6" s="2" customFormat="1" ht="30" customHeight="1">
      <c r="A37" s="25" t="s">
        <v>16</v>
      </c>
      <c r="B37" s="44" t="s">
        <v>195</v>
      </c>
      <c r="C37" s="23">
        <f>C38+C39+C40+C48+C50+C56+C57+C55</f>
        <v>19722</v>
      </c>
      <c r="D37" s="23">
        <f>D38+D39+D40+D48+D50+D56+D57+D55</f>
        <v>19722</v>
      </c>
      <c r="E37" s="12" t="str">
        <f t="shared" si="0"/>
        <v>-</v>
      </c>
      <c r="F37" s="103">
        <f t="shared" si="1"/>
        <v>1</v>
      </c>
    </row>
    <row r="38" spans="1:6" ht="28.5" customHeight="1">
      <c r="A38" s="30" t="s">
        <v>17</v>
      </c>
      <c r="B38" s="39" t="s">
        <v>18</v>
      </c>
      <c r="C38" s="79">
        <v>931</v>
      </c>
      <c r="D38" s="83">
        <f>C38</f>
        <v>931</v>
      </c>
      <c r="E38" s="100" t="str">
        <f t="shared" si="0"/>
        <v>-</v>
      </c>
      <c r="F38" s="101">
        <f t="shared" si="1"/>
        <v>1</v>
      </c>
    </row>
    <row r="39" spans="1:6" ht="28.5" customHeight="1">
      <c r="A39" s="30" t="s">
        <v>19</v>
      </c>
      <c r="B39" s="39" t="s">
        <v>20</v>
      </c>
      <c r="C39" s="79">
        <v>2350</v>
      </c>
      <c r="D39" s="83">
        <f>C39</f>
        <v>2350</v>
      </c>
      <c r="E39" s="100" t="str">
        <f t="shared" si="0"/>
        <v>-</v>
      </c>
      <c r="F39" s="101">
        <f t="shared" si="1"/>
        <v>1</v>
      </c>
    </row>
    <row r="40" spans="1:6" ht="28.5" customHeight="1">
      <c r="A40" s="30" t="s">
        <v>21</v>
      </c>
      <c r="B40" s="40" t="s">
        <v>32</v>
      </c>
      <c r="C40" s="93">
        <f>C41+C43+C44+C45+C46+C47</f>
        <v>233</v>
      </c>
      <c r="D40" s="83">
        <f>D41+D43+D44+D45+D46+D47</f>
        <v>233</v>
      </c>
      <c r="E40" s="100" t="str">
        <f t="shared" si="0"/>
        <v>-</v>
      </c>
      <c r="F40" s="101">
        <f t="shared" si="1"/>
        <v>1</v>
      </c>
    </row>
    <row r="41" spans="1:6" ht="23.25" customHeight="1">
      <c r="A41" s="41" t="s">
        <v>40</v>
      </c>
      <c r="B41" s="42" t="s">
        <v>33</v>
      </c>
      <c r="C41" s="79">
        <v>27</v>
      </c>
      <c r="D41" s="83">
        <f>C41</f>
        <v>27</v>
      </c>
      <c r="E41" s="100" t="str">
        <f t="shared" si="0"/>
        <v>-</v>
      </c>
      <c r="F41" s="101">
        <f t="shared" si="1"/>
        <v>1</v>
      </c>
    </row>
    <row r="42" spans="1:6" ht="28.5" customHeight="1">
      <c r="A42" s="41" t="s">
        <v>41</v>
      </c>
      <c r="B42" s="43" t="s">
        <v>34</v>
      </c>
      <c r="C42" s="79">
        <v>27</v>
      </c>
      <c r="D42" s="83">
        <f aca="true" t="shared" si="4" ref="D42:D61">C42</f>
        <v>27</v>
      </c>
      <c r="E42" s="100" t="str">
        <f t="shared" si="0"/>
        <v>-</v>
      </c>
      <c r="F42" s="101">
        <f t="shared" si="1"/>
        <v>1</v>
      </c>
    </row>
    <row r="43" spans="1:6" ht="28.5" customHeight="1">
      <c r="A43" s="41" t="s">
        <v>42</v>
      </c>
      <c r="B43" s="42" t="s">
        <v>35</v>
      </c>
      <c r="C43" s="79">
        <v>6</v>
      </c>
      <c r="D43" s="83">
        <f t="shared" si="4"/>
        <v>6</v>
      </c>
      <c r="E43" s="100" t="str">
        <f t="shared" si="0"/>
        <v>-</v>
      </c>
      <c r="F43" s="101">
        <f t="shared" si="1"/>
        <v>1</v>
      </c>
    </row>
    <row r="44" spans="1:6" ht="28.5" customHeight="1">
      <c r="A44" s="41" t="s">
        <v>43</v>
      </c>
      <c r="B44" s="42" t="s">
        <v>36</v>
      </c>
      <c r="C44" s="79">
        <v>0</v>
      </c>
      <c r="D44" s="83">
        <f t="shared" si="4"/>
        <v>0</v>
      </c>
      <c r="E44" s="100" t="str">
        <f t="shared" si="0"/>
        <v>-</v>
      </c>
      <c r="F44" s="101" t="str">
        <f t="shared" si="1"/>
        <v>-</v>
      </c>
    </row>
    <row r="45" spans="1:6" ht="28.5" customHeight="1">
      <c r="A45" s="41" t="s">
        <v>44</v>
      </c>
      <c r="B45" s="42" t="s">
        <v>37</v>
      </c>
      <c r="C45" s="79">
        <v>0</v>
      </c>
      <c r="D45" s="83">
        <f t="shared" si="4"/>
        <v>0</v>
      </c>
      <c r="E45" s="100" t="str">
        <f t="shared" si="0"/>
        <v>-</v>
      </c>
      <c r="F45" s="101" t="str">
        <f t="shared" si="1"/>
        <v>-</v>
      </c>
    </row>
    <row r="46" spans="1:6" ht="28.5" customHeight="1">
      <c r="A46" s="41" t="s">
        <v>45</v>
      </c>
      <c r="B46" s="42" t="s">
        <v>38</v>
      </c>
      <c r="C46" s="79">
        <v>178</v>
      </c>
      <c r="D46" s="83">
        <f t="shared" si="4"/>
        <v>178</v>
      </c>
      <c r="E46" s="100" t="str">
        <f t="shared" si="0"/>
        <v>-</v>
      </c>
      <c r="F46" s="101">
        <f t="shared" si="1"/>
        <v>1</v>
      </c>
    </row>
    <row r="47" spans="1:6" ht="28.5" customHeight="1">
      <c r="A47" s="41" t="s">
        <v>46</v>
      </c>
      <c r="B47" s="42" t="s">
        <v>39</v>
      </c>
      <c r="C47" s="79">
        <v>22</v>
      </c>
      <c r="D47" s="83">
        <f>C47</f>
        <v>22</v>
      </c>
      <c r="E47" s="100" t="str">
        <f t="shared" si="0"/>
        <v>-</v>
      </c>
      <c r="F47" s="101">
        <f t="shared" si="1"/>
        <v>1</v>
      </c>
    </row>
    <row r="48" spans="1:6" ht="28.5" customHeight="1">
      <c r="A48" s="30" t="s">
        <v>22</v>
      </c>
      <c r="B48" s="39" t="s">
        <v>186</v>
      </c>
      <c r="C48" s="79">
        <v>12350</v>
      </c>
      <c r="D48" s="83">
        <f>C48</f>
        <v>12350</v>
      </c>
      <c r="E48" s="100" t="str">
        <f t="shared" si="0"/>
        <v>-</v>
      </c>
      <c r="F48" s="101">
        <f t="shared" si="1"/>
        <v>1</v>
      </c>
    </row>
    <row r="49" spans="1:6" ht="28.5" customHeight="1">
      <c r="A49" s="41" t="s">
        <v>187</v>
      </c>
      <c r="B49" s="42" t="s">
        <v>188</v>
      </c>
      <c r="C49" s="79">
        <v>50</v>
      </c>
      <c r="D49" s="83">
        <f>C49</f>
        <v>50</v>
      </c>
      <c r="E49" s="100" t="str">
        <f t="shared" si="0"/>
        <v>-</v>
      </c>
      <c r="F49" s="101">
        <f t="shared" si="1"/>
        <v>1</v>
      </c>
    </row>
    <row r="50" spans="1:6" ht="28.5" customHeight="1">
      <c r="A50" s="30" t="s">
        <v>23</v>
      </c>
      <c r="B50" s="40" t="s">
        <v>55</v>
      </c>
      <c r="C50" s="93">
        <f>C51+C52+C53+C54</f>
        <v>2744</v>
      </c>
      <c r="D50" s="83">
        <f>D51+D52+D53+D54</f>
        <v>2744</v>
      </c>
      <c r="E50" s="100" t="str">
        <f t="shared" si="0"/>
        <v>-</v>
      </c>
      <c r="F50" s="101">
        <f t="shared" si="1"/>
        <v>1</v>
      </c>
    </row>
    <row r="51" spans="1:6" ht="28.5" customHeight="1">
      <c r="A51" s="41" t="s">
        <v>51</v>
      </c>
      <c r="B51" s="42" t="s">
        <v>47</v>
      </c>
      <c r="C51" s="83">
        <v>2123</v>
      </c>
      <c r="D51" s="83">
        <f t="shared" si="4"/>
        <v>2123</v>
      </c>
      <c r="E51" s="100" t="str">
        <f t="shared" si="0"/>
        <v>-</v>
      </c>
      <c r="F51" s="101">
        <f t="shared" si="1"/>
        <v>1</v>
      </c>
    </row>
    <row r="52" spans="1:6" ht="28.5" customHeight="1">
      <c r="A52" s="41" t="s">
        <v>52</v>
      </c>
      <c r="B52" s="42" t="s">
        <v>48</v>
      </c>
      <c r="C52" s="83">
        <v>302</v>
      </c>
      <c r="D52" s="83">
        <f t="shared" si="4"/>
        <v>302</v>
      </c>
      <c r="E52" s="100" t="str">
        <f t="shared" si="0"/>
        <v>-</v>
      </c>
      <c r="F52" s="101">
        <f t="shared" si="1"/>
        <v>1</v>
      </c>
    </row>
    <row r="53" spans="1:6" ht="28.5" customHeight="1">
      <c r="A53" s="41" t="s">
        <v>53</v>
      </c>
      <c r="B53" s="42" t="s">
        <v>49</v>
      </c>
      <c r="C53" s="83">
        <v>0</v>
      </c>
      <c r="D53" s="83">
        <f t="shared" si="4"/>
        <v>0</v>
      </c>
      <c r="E53" s="100" t="str">
        <f t="shared" si="0"/>
        <v>-</v>
      </c>
      <c r="F53" s="101" t="str">
        <f t="shared" si="1"/>
        <v>-</v>
      </c>
    </row>
    <row r="54" spans="1:6" ht="28.5" customHeight="1">
      <c r="A54" s="41" t="s">
        <v>54</v>
      </c>
      <c r="B54" s="42" t="s">
        <v>50</v>
      </c>
      <c r="C54" s="83">
        <v>319</v>
      </c>
      <c r="D54" s="83">
        <f t="shared" si="4"/>
        <v>319</v>
      </c>
      <c r="E54" s="100" t="str">
        <f t="shared" si="0"/>
        <v>-</v>
      </c>
      <c r="F54" s="101">
        <f t="shared" si="1"/>
        <v>1</v>
      </c>
    </row>
    <row r="55" spans="1:6" ht="28.5" customHeight="1">
      <c r="A55" s="30" t="s">
        <v>24</v>
      </c>
      <c r="B55" s="39" t="s">
        <v>25</v>
      </c>
      <c r="C55" s="79">
        <v>0</v>
      </c>
      <c r="D55" s="83">
        <f>C55</f>
        <v>0</v>
      </c>
      <c r="E55" s="100" t="str">
        <f t="shared" si="0"/>
        <v>-</v>
      </c>
      <c r="F55" s="101" t="str">
        <f t="shared" si="1"/>
        <v>-</v>
      </c>
    </row>
    <row r="56" spans="1:6" ht="28.5" customHeight="1">
      <c r="A56" s="30" t="s">
        <v>26</v>
      </c>
      <c r="B56" s="39" t="s">
        <v>189</v>
      </c>
      <c r="C56" s="79">
        <v>912</v>
      </c>
      <c r="D56" s="83">
        <f>C56</f>
        <v>912</v>
      </c>
      <c r="E56" s="100" t="str">
        <f t="shared" si="0"/>
        <v>-</v>
      </c>
      <c r="F56" s="104">
        <f t="shared" si="1"/>
        <v>1</v>
      </c>
    </row>
    <row r="57" spans="1:6" ht="28.5" customHeight="1">
      <c r="A57" s="30" t="s">
        <v>27</v>
      </c>
      <c r="B57" s="39" t="s">
        <v>28</v>
      </c>
      <c r="C57" s="79">
        <v>202</v>
      </c>
      <c r="D57" s="83">
        <f>C57</f>
        <v>202</v>
      </c>
      <c r="E57" s="100" t="str">
        <f t="shared" si="0"/>
        <v>-</v>
      </c>
      <c r="F57" s="101">
        <f t="shared" si="1"/>
        <v>1</v>
      </c>
    </row>
    <row r="58" spans="1:6" s="2" customFormat="1" ht="30" customHeight="1">
      <c r="A58" s="32" t="s">
        <v>29</v>
      </c>
      <c r="B58" s="44" t="s">
        <v>190</v>
      </c>
      <c r="C58" s="81">
        <f>C59+C60+C61+C62</f>
        <v>876</v>
      </c>
      <c r="D58" s="26">
        <f>D59+D60+D61+D62</f>
        <v>876</v>
      </c>
      <c r="E58" s="12" t="str">
        <f t="shared" si="0"/>
        <v>-</v>
      </c>
      <c r="F58" s="105">
        <f t="shared" si="1"/>
        <v>1</v>
      </c>
    </row>
    <row r="59" spans="1:6" ht="42" customHeight="1">
      <c r="A59" s="30" t="s">
        <v>104</v>
      </c>
      <c r="B59" s="39" t="s">
        <v>126</v>
      </c>
      <c r="C59" s="79">
        <v>27</v>
      </c>
      <c r="D59" s="83">
        <f t="shared" si="4"/>
        <v>27</v>
      </c>
      <c r="E59" s="75" t="str">
        <f t="shared" si="0"/>
        <v>-</v>
      </c>
      <c r="F59" s="101">
        <f t="shared" si="1"/>
        <v>1</v>
      </c>
    </row>
    <row r="60" spans="1:6" ht="31.5" customHeight="1">
      <c r="A60" s="30" t="s">
        <v>30</v>
      </c>
      <c r="B60" s="39" t="s">
        <v>57</v>
      </c>
      <c r="C60" s="79">
        <v>668</v>
      </c>
      <c r="D60" s="83">
        <f t="shared" si="4"/>
        <v>668</v>
      </c>
      <c r="E60" s="75" t="str">
        <f t="shared" si="0"/>
        <v>-</v>
      </c>
      <c r="F60" s="101">
        <f t="shared" si="1"/>
        <v>1</v>
      </c>
    </row>
    <row r="61" spans="1:6" ht="31.5" customHeight="1">
      <c r="A61" s="30" t="s">
        <v>31</v>
      </c>
      <c r="B61" s="39" t="s">
        <v>106</v>
      </c>
      <c r="C61" s="79">
        <v>0</v>
      </c>
      <c r="D61" s="83">
        <f t="shared" si="4"/>
        <v>0</v>
      </c>
      <c r="E61" s="75" t="str">
        <f t="shared" si="0"/>
        <v>-</v>
      </c>
      <c r="F61" s="101" t="str">
        <f t="shared" si="1"/>
        <v>-</v>
      </c>
    </row>
    <row r="62" spans="1:6" ht="31.5" customHeight="1">
      <c r="A62" s="30" t="s">
        <v>105</v>
      </c>
      <c r="B62" s="39" t="s">
        <v>107</v>
      </c>
      <c r="C62" s="79">
        <v>181</v>
      </c>
      <c r="D62" s="83">
        <f>C62</f>
        <v>181</v>
      </c>
      <c r="E62" s="75" t="str">
        <f t="shared" si="0"/>
        <v>-</v>
      </c>
      <c r="F62" s="101">
        <f t="shared" si="1"/>
        <v>1</v>
      </c>
    </row>
    <row r="63" spans="1:6" ht="32.25" customHeight="1">
      <c r="A63" s="32" t="s">
        <v>112</v>
      </c>
      <c r="B63" s="44" t="s">
        <v>133</v>
      </c>
      <c r="C63" s="81">
        <v>183</v>
      </c>
      <c r="D63" s="26">
        <f>C63</f>
        <v>183</v>
      </c>
      <c r="E63" s="12" t="str">
        <f t="shared" si="0"/>
        <v>-</v>
      </c>
      <c r="F63" s="105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69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A2" sqref="A2:B2"/>
      <selection pane="topRight" activeCell="A2" sqref="A2:B2"/>
      <selection pane="bottomLeft" activeCell="A2" sqref="A2:B2"/>
      <selection pane="bottomRight" activeCell="A2" sqref="A2:B2"/>
    </sheetView>
  </sheetViews>
  <sheetFormatPr defaultColWidth="9.00390625" defaultRowHeight="12.75"/>
  <cols>
    <col min="1" max="1" width="9.125" style="1" customWidth="1"/>
    <col min="2" max="2" width="125.875" style="1" customWidth="1"/>
    <col min="3" max="3" width="25.75390625" style="1" customWidth="1"/>
    <col min="4" max="4" width="26.875" style="1" customWidth="1"/>
    <col min="5" max="6" width="20.75390625" style="1" customWidth="1"/>
    <col min="7" max="16384" width="9.125" style="1" customWidth="1"/>
  </cols>
  <sheetData>
    <row r="1" spans="1:6" s="47" customFormat="1" ht="54.75" customHeight="1">
      <c r="A1" s="119" t="str">
        <f>NFZ!A1</f>
        <v>URUCHOMIENIE REZERWY NA KOSZTY ŚWIADCZEŃ OPIEKI ZDROWOTNEJ W RAMACH MIGRACJI UBEZPIECZONYCH Z DNIA 30 SIERPNIA 2012 R. W PLANIE FINANSOWYM NARODOWEGO FUNDUSZU ZDROWIA NA 2013 ROK</v>
      </c>
      <c r="B1" s="119"/>
      <c r="C1" s="119"/>
      <c r="D1" s="119"/>
      <c r="E1" s="119"/>
      <c r="F1" s="119"/>
    </row>
    <row r="2" spans="1:3" s="49" customFormat="1" ht="33" customHeight="1">
      <c r="A2" s="87" t="s">
        <v>201</v>
      </c>
      <c r="B2" s="87"/>
      <c r="C2" s="96"/>
    </row>
    <row r="3" spans="1:6" ht="33" customHeight="1">
      <c r="A3" s="7"/>
      <c r="B3" s="8"/>
      <c r="C3" s="86"/>
      <c r="D3" s="86"/>
      <c r="E3" s="86" t="s">
        <v>166</v>
      </c>
      <c r="F3" s="9"/>
    </row>
    <row r="4" spans="1:6" s="5" customFormat="1" ht="45" customHeight="1">
      <c r="A4" s="114" t="s">
        <v>137</v>
      </c>
      <c r="B4" s="114" t="s">
        <v>56</v>
      </c>
      <c r="C4" s="115" t="s">
        <v>206</v>
      </c>
      <c r="D4" s="115" t="s">
        <v>203</v>
      </c>
      <c r="E4" s="118" t="s">
        <v>204</v>
      </c>
      <c r="F4" s="118" t="s">
        <v>205</v>
      </c>
    </row>
    <row r="5" spans="1:6" s="5" customFormat="1" ht="45" customHeight="1">
      <c r="A5" s="114"/>
      <c r="B5" s="114"/>
      <c r="C5" s="116"/>
      <c r="D5" s="116"/>
      <c r="E5" s="118"/>
      <c r="F5" s="118"/>
    </row>
    <row r="6" spans="1:6" s="3" customFormat="1" ht="14.25">
      <c r="A6" s="46">
        <v>1</v>
      </c>
      <c r="B6" s="51">
        <v>2</v>
      </c>
      <c r="C6" s="46">
        <v>3</v>
      </c>
      <c r="D6" s="51">
        <v>4</v>
      </c>
      <c r="E6" s="46">
        <v>5</v>
      </c>
      <c r="F6" s="51">
        <v>6</v>
      </c>
    </row>
    <row r="7" spans="1:6" s="2" customFormat="1" ht="30" customHeight="1">
      <c r="A7" s="22" t="s">
        <v>0</v>
      </c>
      <c r="B7" s="38" t="s">
        <v>174</v>
      </c>
      <c r="C7" s="15">
        <f>C8+C9+C10+C15+C16+C17+C18+C19+C20+C21+C22+C23+C24+C25+C29+C30+C32+C33</f>
        <v>489138</v>
      </c>
      <c r="D7" s="15">
        <f>D8+D9+D10+D15+D16+D17+D18+D19+D20+D21+D22+D23+D24+D25+D29+D30+D32+D33</f>
        <v>489138</v>
      </c>
      <c r="E7" s="12" t="str">
        <f>IF(C7=D7,"-",D7-C7)</f>
        <v>-</v>
      </c>
      <c r="F7" s="99">
        <f>IF(C7=0,"-",D7/C7)</f>
        <v>1</v>
      </c>
    </row>
    <row r="8" spans="1:6" ht="33" customHeight="1">
      <c r="A8" s="28" t="s">
        <v>1</v>
      </c>
      <c r="B8" s="34" t="s">
        <v>138</v>
      </c>
      <c r="C8" s="24">
        <v>0</v>
      </c>
      <c r="D8" s="24">
        <f>C8</f>
        <v>0</v>
      </c>
      <c r="E8" s="100" t="str">
        <f aca="true" t="shared" si="0" ref="E8:E63">IF(C8=D8,"-",D8-C8)</f>
        <v>-</v>
      </c>
      <c r="F8" s="101" t="str">
        <f aca="true" t="shared" si="1" ref="F8:F63">IF(C8=0,"-",D8/C8)</f>
        <v>-</v>
      </c>
    </row>
    <row r="9" spans="1:6" ht="33" customHeight="1">
      <c r="A9" s="28" t="s">
        <v>2</v>
      </c>
      <c r="B9" s="34" t="s">
        <v>139</v>
      </c>
      <c r="C9" s="24">
        <v>0</v>
      </c>
      <c r="D9" s="24">
        <f aca="true" t="shared" si="2" ref="D9:D35">C9</f>
        <v>0</v>
      </c>
      <c r="E9" s="100" t="str">
        <f t="shared" si="0"/>
        <v>-</v>
      </c>
      <c r="F9" s="101" t="str">
        <f t="shared" si="1"/>
        <v>-</v>
      </c>
    </row>
    <row r="10" spans="1:6" ht="33" customHeight="1">
      <c r="A10" s="28" t="s">
        <v>3</v>
      </c>
      <c r="B10" s="34" t="s">
        <v>136</v>
      </c>
      <c r="C10" s="24">
        <v>0</v>
      </c>
      <c r="D10" s="24">
        <f t="shared" si="2"/>
        <v>0</v>
      </c>
      <c r="E10" s="100" t="str">
        <f t="shared" si="0"/>
        <v>-</v>
      </c>
      <c r="F10" s="101" t="str">
        <f t="shared" si="1"/>
        <v>-</v>
      </c>
    </row>
    <row r="11" spans="1:6" ht="31.5" customHeight="1">
      <c r="A11" s="27" t="s">
        <v>58</v>
      </c>
      <c r="B11" s="33" t="s">
        <v>167</v>
      </c>
      <c r="C11" s="24">
        <v>0</v>
      </c>
      <c r="D11" s="24">
        <f t="shared" si="2"/>
        <v>0</v>
      </c>
      <c r="E11" s="100" t="str">
        <f t="shared" si="0"/>
        <v>-</v>
      </c>
      <c r="F11" s="101" t="str">
        <f t="shared" si="1"/>
        <v>-</v>
      </c>
    </row>
    <row r="12" spans="1:6" ht="31.5" customHeight="1">
      <c r="A12" s="27" t="s">
        <v>168</v>
      </c>
      <c r="B12" s="33" t="s">
        <v>171</v>
      </c>
      <c r="C12" s="24">
        <v>0</v>
      </c>
      <c r="D12" s="24">
        <f t="shared" si="2"/>
        <v>0</v>
      </c>
      <c r="E12" s="100" t="str">
        <f t="shared" si="0"/>
        <v>-</v>
      </c>
      <c r="F12" s="101" t="str">
        <f t="shared" si="1"/>
        <v>-</v>
      </c>
    </row>
    <row r="13" spans="1:6" ht="31.5" customHeight="1">
      <c r="A13" s="27" t="s">
        <v>169</v>
      </c>
      <c r="B13" s="33" t="s">
        <v>172</v>
      </c>
      <c r="C13" s="24">
        <v>0</v>
      </c>
      <c r="D13" s="24">
        <f t="shared" si="2"/>
        <v>0</v>
      </c>
      <c r="E13" s="100" t="str">
        <f t="shared" si="0"/>
        <v>-</v>
      </c>
      <c r="F13" s="101" t="str">
        <f t="shared" si="1"/>
        <v>-</v>
      </c>
    </row>
    <row r="14" spans="1:6" ht="31.5" customHeight="1">
      <c r="A14" s="27" t="s">
        <v>170</v>
      </c>
      <c r="B14" s="33" t="s">
        <v>173</v>
      </c>
      <c r="C14" s="24">
        <v>0</v>
      </c>
      <c r="D14" s="24">
        <f t="shared" si="2"/>
        <v>0</v>
      </c>
      <c r="E14" s="100" t="str">
        <f t="shared" si="0"/>
        <v>-</v>
      </c>
      <c r="F14" s="101" t="str">
        <f t="shared" si="1"/>
        <v>-</v>
      </c>
    </row>
    <row r="15" spans="1:6" ht="33" customHeight="1">
      <c r="A15" s="28" t="s">
        <v>4</v>
      </c>
      <c r="B15" s="34" t="s">
        <v>144</v>
      </c>
      <c r="C15" s="24">
        <v>0</v>
      </c>
      <c r="D15" s="24">
        <f t="shared" si="2"/>
        <v>0</v>
      </c>
      <c r="E15" s="100" t="str">
        <f t="shared" si="0"/>
        <v>-</v>
      </c>
      <c r="F15" s="101" t="str">
        <f t="shared" si="1"/>
        <v>-</v>
      </c>
    </row>
    <row r="16" spans="1:6" ht="33" customHeight="1">
      <c r="A16" s="28" t="s">
        <v>5</v>
      </c>
      <c r="B16" s="34" t="s">
        <v>140</v>
      </c>
      <c r="C16" s="24">
        <v>0</v>
      </c>
      <c r="D16" s="24">
        <f t="shared" si="2"/>
        <v>0</v>
      </c>
      <c r="E16" s="100" t="str">
        <f t="shared" si="0"/>
        <v>-</v>
      </c>
      <c r="F16" s="101" t="str">
        <f t="shared" si="1"/>
        <v>-</v>
      </c>
    </row>
    <row r="17" spans="1:6" ht="33" customHeight="1">
      <c r="A17" s="28" t="s">
        <v>6</v>
      </c>
      <c r="B17" s="34" t="s">
        <v>146</v>
      </c>
      <c r="C17" s="24">
        <v>0</v>
      </c>
      <c r="D17" s="24">
        <f t="shared" si="2"/>
        <v>0</v>
      </c>
      <c r="E17" s="100" t="str">
        <f t="shared" si="0"/>
        <v>-</v>
      </c>
      <c r="F17" s="101" t="str">
        <f t="shared" si="1"/>
        <v>-</v>
      </c>
    </row>
    <row r="18" spans="1:6" ht="33" customHeight="1">
      <c r="A18" s="28" t="s">
        <v>7</v>
      </c>
      <c r="B18" s="34" t="s">
        <v>145</v>
      </c>
      <c r="C18" s="24">
        <v>0</v>
      </c>
      <c r="D18" s="24">
        <f t="shared" si="2"/>
        <v>0</v>
      </c>
      <c r="E18" s="100" t="str">
        <f t="shared" si="0"/>
        <v>-</v>
      </c>
      <c r="F18" s="101" t="str">
        <f t="shared" si="1"/>
        <v>-</v>
      </c>
    </row>
    <row r="19" spans="1:6" ht="33" customHeight="1">
      <c r="A19" s="28" t="s">
        <v>8</v>
      </c>
      <c r="B19" s="34" t="s">
        <v>141</v>
      </c>
      <c r="C19" s="24">
        <v>0</v>
      </c>
      <c r="D19" s="24">
        <f t="shared" si="2"/>
        <v>0</v>
      </c>
      <c r="E19" s="100" t="str">
        <f t="shared" si="0"/>
        <v>-</v>
      </c>
      <c r="F19" s="101" t="str">
        <f t="shared" si="1"/>
        <v>-</v>
      </c>
    </row>
    <row r="20" spans="1:6" ht="33" customHeight="1">
      <c r="A20" s="28" t="s">
        <v>9</v>
      </c>
      <c r="B20" s="34" t="s">
        <v>142</v>
      </c>
      <c r="C20" s="24">
        <v>0</v>
      </c>
      <c r="D20" s="24">
        <f t="shared" si="2"/>
        <v>0</v>
      </c>
      <c r="E20" s="100" t="str">
        <f t="shared" si="0"/>
        <v>-</v>
      </c>
      <c r="F20" s="101" t="str">
        <f t="shared" si="1"/>
        <v>-</v>
      </c>
    </row>
    <row r="21" spans="1:6" ht="33" customHeight="1">
      <c r="A21" s="28" t="s">
        <v>10</v>
      </c>
      <c r="B21" s="34" t="s">
        <v>147</v>
      </c>
      <c r="C21" s="24">
        <v>0</v>
      </c>
      <c r="D21" s="24">
        <f t="shared" si="2"/>
        <v>0</v>
      </c>
      <c r="E21" s="100" t="str">
        <f t="shared" si="0"/>
        <v>-</v>
      </c>
      <c r="F21" s="101" t="str">
        <f t="shared" si="1"/>
        <v>-</v>
      </c>
    </row>
    <row r="22" spans="1:6" ht="46.5" customHeight="1">
      <c r="A22" s="28" t="s">
        <v>11</v>
      </c>
      <c r="B22" s="34" t="s">
        <v>143</v>
      </c>
      <c r="C22" s="24">
        <v>0</v>
      </c>
      <c r="D22" s="24">
        <f t="shared" si="2"/>
        <v>0</v>
      </c>
      <c r="E22" s="100" t="str">
        <f t="shared" si="0"/>
        <v>-</v>
      </c>
      <c r="F22" s="101" t="str">
        <f t="shared" si="1"/>
        <v>-</v>
      </c>
    </row>
    <row r="23" spans="1:6" ht="33" customHeight="1">
      <c r="A23" s="28" t="s">
        <v>12</v>
      </c>
      <c r="B23" s="34" t="s">
        <v>197</v>
      </c>
      <c r="C23" s="24">
        <v>0</v>
      </c>
      <c r="D23" s="24">
        <f t="shared" si="2"/>
        <v>0</v>
      </c>
      <c r="E23" s="100" t="str">
        <f t="shared" si="0"/>
        <v>-</v>
      </c>
      <c r="F23" s="101" t="str">
        <f t="shared" si="1"/>
        <v>-</v>
      </c>
    </row>
    <row r="24" spans="1:6" ht="33" customHeight="1">
      <c r="A24" s="28" t="s">
        <v>13</v>
      </c>
      <c r="B24" s="34" t="s">
        <v>175</v>
      </c>
      <c r="C24" s="24">
        <v>0</v>
      </c>
      <c r="D24" s="24">
        <f t="shared" si="2"/>
        <v>0</v>
      </c>
      <c r="E24" s="100" t="str">
        <f t="shared" si="0"/>
        <v>-</v>
      </c>
      <c r="F24" s="101" t="str">
        <f t="shared" si="1"/>
        <v>-</v>
      </c>
    </row>
    <row r="25" spans="1:6" ht="33" customHeight="1">
      <c r="A25" s="29" t="s">
        <v>14</v>
      </c>
      <c r="B25" s="76" t="s">
        <v>176</v>
      </c>
      <c r="C25" s="24">
        <v>0</v>
      </c>
      <c r="D25" s="24">
        <f>C25</f>
        <v>0</v>
      </c>
      <c r="E25" s="100" t="str">
        <f t="shared" si="0"/>
        <v>-</v>
      </c>
      <c r="F25" s="101" t="str">
        <f t="shared" si="1"/>
        <v>-</v>
      </c>
    </row>
    <row r="26" spans="1:6" ht="31.5">
      <c r="A26" s="27" t="s">
        <v>148</v>
      </c>
      <c r="B26" s="33" t="s">
        <v>178</v>
      </c>
      <c r="C26" s="24">
        <v>0</v>
      </c>
      <c r="D26" s="24">
        <f t="shared" si="2"/>
        <v>0</v>
      </c>
      <c r="E26" s="100" t="str">
        <f t="shared" si="0"/>
        <v>-</v>
      </c>
      <c r="F26" s="101" t="str">
        <f t="shared" si="1"/>
        <v>-</v>
      </c>
    </row>
    <row r="27" spans="1:6" ht="31.5" customHeight="1">
      <c r="A27" s="27" t="s">
        <v>177</v>
      </c>
      <c r="B27" s="33" t="s">
        <v>180</v>
      </c>
      <c r="C27" s="24">
        <v>0</v>
      </c>
      <c r="D27" s="24">
        <f t="shared" si="2"/>
        <v>0</v>
      </c>
      <c r="E27" s="100" t="str">
        <f t="shared" si="0"/>
        <v>-</v>
      </c>
      <c r="F27" s="101" t="str">
        <f t="shared" si="1"/>
        <v>-</v>
      </c>
    </row>
    <row r="28" spans="1:6" ht="31.5" customHeight="1">
      <c r="A28" s="27" t="s">
        <v>181</v>
      </c>
      <c r="B28" s="33" t="s">
        <v>179</v>
      </c>
      <c r="C28" s="24">
        <v>0</v>
      </c>
      <c r="D28" s="24">
        <f t="shared" si="2"/>
        <v>0</v>
      </c>
      <c r="E28" s="100" t="str">
        <f t="shared" si="0"/>
        <v>-</v>
      </c>
      <c r="F28" s="101" t="str">
        <f t="shared" si="1"/>
        <v>-</v>
      </c>
    </row>
    <row r="29" spans="1:6" ht="33" customHeight="1">
      <c r="A29" s="30" t="s">
        <v>15</v>
      </c>
      <c r="B29" s="35" t="s">
        <v>124</v>
      </c>
      <c r="C29" s="24">
        <v>482270</v>
      </c>
      <c r="D29" s="24">
        <f t="shared" si="2"/>
        <v>482270</v>
      </c>
      <c r="E29" s="100" t="str">
        <f t="shared" si="0"/>
        <v>-</v>
      </c>
      <c r="F29" s="101">
        <f t="shared" si="1"/>
        <v>1</v>
      </c>
    </row>
    <row r="30" spans="1:6" ht="33" customHeight="1">
      <c r="A30" s="30" t="s">
        <v>121</v>
      </c>
      <c r="B30" s="36" t="s">
        <v>182</v>
      </c>
      <c r="C30" s="24">
        <v>6868</v>
      </c>
      <c r="D30" s="24">
        <f t="shared" si="2"/>
        <v>6868</v>
      </c>
      <c r="E30" s="100" t="str">
        <f t="shared" si="0"/>
        <v>-</v>
      </c>
      <c r="F30" s="101">
        <f t="shared" si="1"/>
        <v>1</v>
      </c>
    </row>
    <row r="31" spans="1:6" ht="31.5" customHeight="1">
      <c r="A31" s="27" t="s">
        <v>183</v>
      </c>
      <c r="B31" s="33" t="s">
        <v>199</v>
      </c>
      <c r="C31" s="24">
        <v>0</v>
      </c>
      <c r="D31" s="24">
        <f t="shared" si="2"/>
        <v>0</v>
      </c>
      <c r="E31" s="100" t="str">
        <f t="shared" si="0"/>
        <v>-</v>
      </c>
      <c r="F31" s="101" t="str">
        <f t="shared" si="1"/>
        <v>-</v>
      </c>
    </row>
    <row r="32" spans="1:6" ht="33" customHeight="1">
      <c r="A32" s="30" t="s">
        <v>122</v>
      </c>
      <c r="B32" s="36" t="s">
        <v>125</v>
      </c>
      <c r="C32" s="24">
        <v>0</v>
      </c>
      <c r="D32" s="24">
        <f t="shared" si="2"/>
        <v>0</v>
      </c>
      <c r="E32" s="100" t="str">
        <f t="shared" si="0"/>
        <v>-</v>
      </c>
      <c r="F32" s="101" t="str">
        <f t="shared" si="1"/>
        <v>-</v>
      </c>
    </row>
    <row r="33" spans="1:6" ht="33" customHeight="1">
      <c r="A33" s="30" t="s">
        <v>123</v>
      </c>
      <c r="B33" s="36" t="s">
        <v>198</v>
      </c>
      <c r="C33" s="24">
        <v>0</v>
      </c>
      <c r="D33" s="24">
        <f t="shared" si="2"/>
        <v>0</v>
      </c>
      <c r="E33" s="100" t="str">
        <f t="shared" si="0"/>
        <v>-</v>
      </c>
      <c r="F33" s="101" t="str">
        <f t="shared" si="1"/>
        <v>-</v>
      </c>
    </row>
    <row r="34" spans="1:6" s="4" customFormat="1" ht="31.5" customHeight="1">
      <c r="A34" s="31" t="s">
        <v>60</v>
      </c>
      <c r="B34" s="37" t="s">
        <v>61</v>
      </c>
      <c r="C34" s="94">
        <v>0</v>
      </c>
      <c r="D34" s="94">
        <f t="shared" si="2"/>
        <v>0</v>
      </c>
      <c r="E34" s="14" t="str">
        <f t="shared" si="0"/>
        <v>-</v>
      </c>
      <c r="F34" s="102" t="str">
        <f t="shared" si="1"/>
        <v>-</v>
      </c>
    </row>
    <row r="35" spans="1:6" s="4" customFormat="1" ht="31.5" customHeight="1">
      <c r="A35" s="31" t="s">
        <v>59</v>
      </c>
      <c r="B35" s="37" t="s">
        <v>62</v>
      </c>
      <c r="C35" s="95">
        <v>0</v>
      </c>
      <c r="D35" s="95">
        <f t="shared" si="2"/>
        <v>0</v>
      </c>
      <c r="E35" s="14" t="str">
        <f t="shared" si="0"/>
        <v>-</v>
      </c>
      <c r="F35" s="102" t="str">
        <f t="shared" si="1"/>
        <v>-</v>
      </c>
    </row>
    <row r="36" spans="1:6" s="4" customFormat="1" ht="42.75" customHeight="1">
      <c r="A36" s="31" t="s">
        <v>184</v>
      </c>
      <c r="B36" s="37" t="s">
        <v>185</v>
      </c>
      <c r="C36" s="82">
        <f>C12+C14+C25+C31</f>
        <v>0</v>
      </c>
      <c r="D36" s="82">
        <f>D12+D14+D25+D31</f>
        <v>0</v>
      </c>
      <c r="E36" s="14" t="str">
        <f t="shared" si="0"/>
        <v>-</v>
      </c>
      <c r="F36" s="102" t="str">
        <f t="shared" si="1"/>
        <v>-</v>
      </c>
    </row>
    <row r="37" spans="1:6" s="2" customFormat="1" ht="30" customHeight="1">
      <c r="A37" s="25" t="s">
        <v>16</v>
      </c>
      <c r="B37" s="45" t="s">
        <v>195</v>
      </c>
      <c r="C37" s="23">
        <f>C38+C39+C40+C48+C50+C56+C57+C55</f>
        <v>205969</v>
      </c>
      <c r="D37" s="23">
        <f>D38+D39+D40+D48+D50+D56+D57+D55</f>
        <v>205969</v>
      </c>
      <c r="E37" s="12" t="str">
        <f t="shared" si="0"/>
        <v>-</v>
      </c>
      <c r="F37" s="103">
        <f t="shared" si="1"/>
        <v>1</v>
      </c>
    </row>
    <row r="38" spans="1:6" ht="28.5" customHeight="1">
      <c r="A38" s="30" t="s">
        <v>17</v>
      </c>
      <c r="B38" s="39" t="s">
        <v>18</v>
      </c>
      <c r="C38" s="83">
        <f>4840-6</f>
        <v>4834</v>
      </c>
      <c r="D38" s="83">
        <f>C38</f>
        <v>4834</v>
      </c>
      <c r="E38" s="100" t="str">
        <f t="shared" si="0"/>
        <v>-</v>
      </c>
      <c r="F38" s="101">
        <f t="shared" si="1"/>
        <v>1</v>
      </c>
    </row>
    <row r="39" spans="1:6" ht="28.5" customHeight="1">
      <c r="A39" s="30" t="s">
        <v>19</v>
      </c>
      <c r="B39" s="39" t="s">
        <v>20</v>
      </c>
      <c r="C39" s="83">
        <f>92097+116</f>
        <v>92213</v>
      </c>
      <c r="D39" s="83">
        <f>C39</f>
        <v>92213</v>
      </c>
      <c r="E39" s="100" t="str">
        <f t="shared" si="0"/>
        <v>-</v>
      </c>
      <c r="F39" s="101">
        <f t="shared" si="1"/>
        <v>1</v>
      </c>
    </row>
    <row r="40" spans="1:6" ht="28.5" customHeight="1">
      <c r="A40" s="30" t="s">
        <v>21</v>
      </c>
      <c r="B40" s="40" t="s">
        <v>32</v>
      </c>
      <c r="C40" s="83">
        <f>C41+C43+C44+C45+C46+C47</f>
        <v>471</v>
      </c>
      <c r="D40" s="83">
        <f>D41+D43+D44+D45+D46+D47</f>
        <v>471</v>
      </c>
      <c r="E40" s="100" t="str">
        <f t="shared" si="0"/>
        <v>-</v>
      </c>
      <c r="F40" s="101">
        <f t="shared" si="1"/>
        <v>1</v>
      </c>
    </row>
    <row r="41" spans="1:6" ht="28.5" customHeight="1">
      <c r="A41" s="41" t="s">
        <v>40</v>
      </c>
      <c r="B41" s="42" t="s">
        <v>33</v>
      </c>
      <c r="C41" s="83">
        <v>43</v>
      </c>
      <c r="D41" s="83">
        <f>C41</f>
        <v>43</v>
      </c>
      <c r="E41" s="100" t="str">
        <f t="shared" si="0"/>
        <v>-</v>
      </c>
      <c r="F41" s="101">
        <f t="shared" si="1"/>
        <v>1</v>
      </c>
    </row>
    <row r="42" spans="1:6" ht="28.5" customHeight="1">
      <c r="A42" s="41" t="s">
        <v>41</v>
      </c>
      <c r="B42" s="43" t="s">
        <v>34</v>
      </c>
      <c r="C42" s="83">
        <v>43</v>
      </c>
      <c r="D42" s="83">
        <f aca="true" t="shared" si="3" ref="D42:D61">C42</f>
        <v>43</v>
      </c>
      <c r="E42" s="100" t="str">
        <f t="shared" si="0"/>
        <v>-</v>
      </c>
      <c r="F42" s="101">
        <f t="shared" si="1"/>
        <v>1</v>
      </c>
    </row>
    <row r="43" spans="1:6" ht="28.5" customHeight="1">
      <c r="A43" s="41" t="s">
        <v>42</v>
      </c>
      <c r="B43" s="42" t="s">
        <v>35</v>
      </c>
      <c r="C43" s="83">
        <v>30</v>
      </c>
      <c r="D43" s="83">
        <f t="shared" si="3"/>
        <v>30</v>
      </c>
      <c r="E43" s="100" t="str">
        <f t="shared" si="0"/>
        <v>-</v>
      </c>
      <c r="F43" s="101">
        <f t="shared" si="1"/>
        <v>1</v>
      </c>
    </row>
    <row r="44" spans="1:6" ht="28.5" customHeight="1">
      <c r="A44" s="41" t="s">
        <v>43</v>
      </c>
      <c r="B44" s="42" t="s">
        <v>36</v>
      </c>
      <c r="C44" s="83">
        <v>17</v>
      </c>
      <c r="D44" s="83">
        <f t="shared" si="3"/>
        <v>17</v>
      </c>
      <c r="E44" s="100" t="str">
        <f t="shared" si="0"/>
        <v>-</v>
      </c>
      <c r="F44" s="101">
        <f t="shared" si="1"/>
        <v>1</v>
      </c>
    </row>
    <row r="45" spans="1:6" ht="28.5" customHeight="1">
      <c r="A45" s="41" t="s">
        <v>44</v>
      </c>
      <c r="B45" s="42" t="s">
        <v>37</v>
      </c>
      <c r="C45" s="83">
        <v>0</v>
      </c>
      <c r="D45" s="83">
        <f t="shared" si="3"/>
        <v>0</v>
      </c>
      <c r="E45" s="100" t="str">
        <f t="shared" si="0"/>
        <v>-</v>
      </c>
      <c r="F45" s="101" t="str">
        <f t="shared" si="1"/>
        <v>-</v>
      </c>
    </row>
    <row r="46" spans="1:6" ht="28.5" customHeight="1">
      <c r="A46" s="41" t="s">
        <v>45</v>
      </c>
      <c r="B46" s="42" t="s">
        <v>38</v>
      </c>
      <c r="C46" s="83">
        <v>350</v>
      </c>
      <c r="D46" s="83">
        <f t="shared" si="3"/>
        <v>350</v>
      </c>
      <c r="E46" s="100" t="str">
        <f t="shared" si="0"/>
        <v>-</v>
      </c>
      <c r="F46" s="101">
        <f t="shared" si="1"/>
        <v>1</v>
      </c>
    </row>
    <row r="47" spans="1:6" ht="28.5" customHeight="1">
      <c r="A47" s="41" t="s">
        <v>46</v>
      </c>
      <c r="B47" s="42" t="s">
        <v>39</v>
      </c>
      <c r="C47" s="83">
        <v>31</v>
      </c>
      <c r="D47" s="83">
        <f>C47</f>
        <v>31</v>
      </c>
      <c r="E47" s="100" t="str">
        <f t="shared" si="0"/>
        <v>-</v>
      </c>
      <c r="F47" s="101">
        <f t="shared" si="1"/>
        <v>1</v>
      </c>
    </row>
    <row r="48" spans="1:6" ht="28.5" customHeight="1">
      <c r="A48" s="30" t="s">
        <v>22</v>
      </c>
      <c r="B48" s="39" t="s">
        <v>186</v>
      </c>
      <c r="C48" s="83">
        <f>31929+39-137</f>
        <v>31831</v>
      </c>
      <c r="D48" s="83">
        <f>C48</f>
        <v>31831</v>
      </c>
      <c r="E48" s="100" t="str">
        <f t="shared" si="0"/>
        <v>-</v>
      </c>
      <c r="F48" s="101">
        <f t="shared" si="1"/>
        <v>1</v>
      </c>
    </row>
    <row r="49" spans="1:6" ht="28.5" customHeight="1">
      <c r="A49" s="41" t="s">
        <v>187</v>
      </c>
      <c r="B49" s="42" t="s">
        <v>188</v>
      </c>
      <c r="C49" s="83">
        <f>281+10</f>
        <v>291</v>
      </c>
      <c r="D49" s="83">
        <f>C49</f>
        <v>291</v>
      </c>
      <c r="E49" s="100" t="str">
        <f t="shared" si="0"/>
        <v>-</v>
      </c>
      <c r="F49" s="101">
        <f t="shared" si="1"/>
        <v>1</v>
      </c>
    </row>
    <row r="50" spans="1:6" ht="28.5" customHeight="1">
      <c r="A50" s="30" t="s">
        <v>23</v>
      </c>
      <c r="B50" s="40" t="s">
        <v>55</v>
      </c>
      <c r="C50" s="83">
        <f>C51+C52+C53+C54</f>
        <v>8027</v>
      </c>
      <c r="D50" s="83">
        <f>D51+D52+D53+D54</f>
        <v>8027</v>
      </c>
      <c r="E50" s="100" t="str">
        <f t="shared" si="0"/>
        <v>-</v>
      </c>
      <c r="F50" s="101">
        <f t="shared" si="1"/>
        <v>1</v>
      </c>
    </row>
    <row r="51" spans="1:6" ht="28.5" customHeight="1">
      <c r="A51" s="41" t="s">
        <v>51</v>
      </c>
      <c r="B51" s="42" t="s">
        <v>47</v>
      </c>
      <c r="C51" s="83">
        <f>5491+7</f>
        <v>5498</v>
      </c>
      <c r="D51" s="83">
        <f t="shared" si="3"/>
        <v>5498</v>
      </c>
      <c r="E51" s="100" t="str">
        <f t="shared" si="0"/>
        <v>-</v>
      </c>
      <c r="F51" s="101">
        <f t="shared" si="1"/>
        <v>1</v>
      </c>
    </row>
    <row r="52" spans="1:6" ht="28.5" customHeight="1">
      <c r="A52" s="41" t="s">
        <v>52</v>
      </c>
      <c r="B52" s="42" t="s">
        <v>48</v>
      </c>
      <c r="C52" s="83">
        <f>782+1</f>
        <v>783</v>
      </c>
      <c r="D52" s="83">
        <f t="shared" si="3"/>
        <v>783</v>
      </c>
      <c r="E52" s="100" t="str">
        <f t="shared" si="0"/>
        <v>-</v>
      </c>
      <c r="F52" s="101">
        <f t="shared" si="1"/>
        <v>1</v>
      </c>
    </row>
    <row r="53" spans="1:6" ht="28.5" customHeight="1">
      <c r="A53" s="41" t="s">
        <v>53</v>
      </c>
      <c r="B53" s="42" t="s">
        <v>49</v>
      </c>
      <c r="C53" s="83">
        <v>0</v>
      </c>
      <c r="D53" s="83">
        <f t="shared" si="3"/>
        <v>0</v>
      </c>
      <c r="E53" s="100" t="str">
        <f t="shared" si="0"/>
        <v>-</v>
      </c>
      <c r="F53" s="101" t="str">
        <f t="shared" si="1"/>
        <v>-</v>
      </c>
    </row>
    <row r="54" spans="1:6" ht="28.5" customHeight="1">
      <c r="A54" s="41" t="s">
        <v>54</v>
      </c>
      <c r="B54" s="42" t="s">
        <v>50</v>
      </c>
      <c r="C54" s="83">
        <v>1746</v>
      </c>
      <c r="D54" s="83">
        <f t="shared" si="3"/>
        <v>1746</v>
      </c>
      <c r="E54" s="100" t="str">
        <f t="shared" si="0"/>
        <v>-</v>
      </c>
      <c r="F54" s="101">
        <f t="shared" si="1"/>
        <v>1</v>
      </c>
    </row>
    <row r="55" spans="1:6" ht="28.5" customHeight="1">
      <c r="A55" s="30" t="s">
        <v>24</v>
      </c>
      <c r="B55" s="39" t="s">
        <v>25</v>
      </c>
      <c r="C55" s="83">
        <v>50</v>
      </c>
      <c r="D55" s="83">
        <f>C55</f>
        <v>50</v>
      </c>
      <c r="E55" s="100" t="str">
        <f t="shared" si="0"/>
        <v>-</v>
      </c>
      <c r="F55" s="101">
        <f t="shared" si="1"/>
        <v>1</v>
      </c>
    </row>
    <row r="56" spans="1:6" ht="28.5" customHeight="1">
      <c r="A56" s="30" t="s">
        <v>26</v>
      </c>
      <c r="B56" s="39" t="s">
        <v>189</v>
      </c>
      <c r="C56" s="24">
        <f>66411+137</f>
        <v>66548</v>
      </c>
      <c r="D56" s="83">
        <f>C56</f>
        <v>66548</v>
      </c>
      <c r="E56" s="100" t="str">
        <f t="shared" si="0"/>
        <v>-</v>
      </c>
      <c r="F56" s="104">
        <f t="shared" si="1"/>
        <v>1</v>
      </c>
    </row>
    <row r="57" spans="1:6" ht="28.5" customHeight="1">
      <c r="A57" s="30" t="s">
        <v>27</v>
      </c>
      <c r="B57" s="39" t="s">
        <v>28</v>
      </c>
      <c r="C57" s="83">
        <f>1994+1</f>
        <v>1995</v>
      </c>
      <c r="D57" s="83">
        <f>C57</f>
        <v>1995</v>
      </c>
      <c r="E57" s="100" t="str">
        <f t="shared" si="0"/>
        <v>-</v>
      </c>
      <c r="F57" s="101">
        <f t="shared" si="1"/>
        <v>1</v>
      </c>
    </row>
    <row r="58" spans="1:6" s="2" customFormat="1" ht="30" customHeight="1">
      <c r="A58" s="32" t="s">
        <v>29</v>
      </c>
      <c r="B58" s="44" t="s">
        <v>190</v>
      </c>
      <c r="C58" s="26">
        <f>C59+C60+C61+C62</f>
        <v>8421</v>
      </c>
      <c r="D58" s="26">
        <f>D59+D60+D61+D62</f>
        <v>8421</v>
      </c>
      <c r="E58" s="12" t="str">
        <f t="shared" si="0"/>
        <v>-</v>
      </c>
      <c r="F58" s="105">
        <f t="shared" si="1"/>
        <v>1</v>
      </c>
    </row>
    <row r="59" spans="1:6" ht="42" customHeight="1">
      <c r="A59" s="30" t="s">
        <v>104</v>
      </c>
      <c r="B59" s="39" t="s">
        <v>126</v>
      </c>
      <c r="C59" s="83">
        <v>610</v>
      </c>
      <c r="D59" s="83">
        <f t="shared" si="3"/>
        <v>610</v>
      </c>
      <c r="E59" s="75" t="str">
        <f t="shared" si="0"/>
        <v>-</v>
      </c>
      <c r="F59" s="101">
        <f t="shared" si="1"/>
        <v>1</v>
      </c>
    </row>
    <row r="60" spans="1:6" ht="31.5" customHeight="1">
      <c r="A60" s="30" t="s">
        <v>30</v>
      </c>
      <c r="B60" s="39" t="s">
        <v>57</v>
      </c>
      <c r="C60" s="83">
        <v>0</v>
      </c>
      <c r="D60" s="83">
        <f t="shared" si="3"/>
        <v>0</v>
      </c>
      <c r="E60" s="75" t="str">
        <f t="shared" si="0"/>
        <v>-</v>
      </c>
      <c r="F60" s="101" t="str">
        <f t="shared" si="1"/>
        <v>-</v>
      </c>
    </row>
    <row r="61" spans="1:6" ht="31.5" customHeight="1">
      <c r="A61" s="30" t="s">
        <v>31</v>
      </c>
      <c r="B61" s="39" t="s">
        <v>106</v>
      </c>
      <c r="C61" s="83">
        <v>7514</v>
      </c>
      <c r="D61" s="83">
        <f t="shared" si="3"/>
        <v>7514</v>
      </c>
      <c r="E61" s="75" t="str">
        <f t="shared" si="0"/>
        <v>-</v>
      </c>
      <c r="F61" s="101">
        <f t="shared" si="1"/>
        <v>1</v>
      </c>
    </row>
    <row r="62" spans="1:6" ht="31.5" customHeight="1">
      <c r="A62" s="30" t="s">
        <v>105</v>
      </c>
      <c r="B62" s="39" t="s">
        <v>107</v>
      </c>
      <c r="C62" s="83">
        <v>297</v>
      </c>
      <c r="D62" s="83">
        <f>C62</f>
        <v>297</v>
      </c>
      <c r="E62" s="75" t="str">
        <f t="shared" si="0"/>
        <v>-</v>
      </c>
      <c r="F62" s="101">
        <f t="shared" si="1"/>
        <v>1</v>
      </c>
    </row>
    <row r="63" spans="1:6" ht="32.25" customHeight="1">
      <c r="A63" s="32" t="s">
        <v>112</v>
      </c>
      <c r="B63" s="44" t="s">
        <v>133</v>
      </c>
      <c r="C63" s="26">
        <v>30182</v>
      </c>
      <c r="D63" s="26">
        <f>C63</f>
        <v>30182</v>
      </c>
      <c r="E63" s="12" t="str">
        <f t="shared" si="0"/>
        <v>-</v>
      </c>
      <c r="F63" s="105">
        <f t="shared" si="1"/>
        <v>1</v>
      </c>
    </row>
    <row r="69" ht="12.75">
      <c r="C69" s="85"/>
    </row>
  </sheetData>
  <sheetProtection/>
  <mergeCells count="7">
    <mergeCell ref="F4:F5"/>
    <mergeCell ref="A1:F1"/>
    <mergeCell ref="C4:C5"/>
    <mergeCell ref="A4:A5"/>
    <mergeCell ref="B4:B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63"/>
  <sheetViews>
    <sheetView showGridLines="0" view="pageBreakPreview" zoomScale="55" zoomScaleNormal="60" zoomScaleSheetLayoutView="55" zoomScalePageLayoutView="0" workbookViewId="0" topLeftCell="A1">
      <pane xSplit="2" ySplit="7" topLeftCell="C20" activePane="bottomRight" state="frozen"/>
      <selection pane="topLeft" activeCell="A2" sqref="A2:B2"/>
      <selection pane="topRight" activeCell="A2" sqref="A2:B2"/>
      <selection pane="bottomLeft" activeCell="A2" sqref="A2:B2"/>
      <selection pane="bottomRight" activeCell="A2" sqref="A2:B2"/>
    </sheetView>
  </sheetViews>
  <sheetFormatPr defaultColWidth="9.00390625" defaultRowHeight="12.75"/>
  <cols>
    <col min="1" max="1" width="9.25390625" style="1" bestFit="1" customWidth="1"/>
    <col min="2" max="2" width="125.875" style="1" customWidth="1"/>
    <col min="3" max="3" width="25.75390625" style="1" customWidth="1"/>
    <col min="4" max="4" width="26.875" style="1" customWidth="1"/>
    <col min="5" max="6" width="20.75390625" style="1" customWidth="1"/>
    <col min="7" max="16384" width="9.125" style="1" customWidth="1"/>
  </cols>
  <sheetData>
    <row r="1" spans="1:6" s="47" customFormat="1" ht="54.75" customHeight="1">
      <c r="A1" s="119" t="str">
        <f>NFZ!A1</f>
        <v>URUCHOMIENIE REZERWY NA KOSZTY ŚWIADCZEŃ OPIEKI ZDROWOTNEJ W RAMACH MIGRACJI UBEZPIECZONYCH Z DNIA 30 SIERPNIA 2012 R. W PLANIE FINANSOWYM NARODOWEGO FUNDUSZU ZDROWIA NA 2013 ROK</v>
      </c>
      <c r="B1" s="119"/>
      <c r="C1" s="119"/>
      <c r="D1" s="119"/>
      <c r="E1" s="119"/>
      <c r="F1" s="119"/>
    </row>
    <row r="2" spans="1:3" s="49" customFormat="1" ht="33" customHeight="1">
      <c r="A2" s="87" t="s">
        <v>202</v>
      </c>
      <c r="B2" s="87"/>
      <c r="C2" s="87"/>
    </row>
    <row r="3" spans="1:6" ht="33" customHeight="1">
      <c r="A3" s="7"/>
      <c r="B3" s="8"/>
      <c r="C3" s="86"/>
      <c r="D3" s="112"/>
      <c r="E3" s="86" t="s">
        <v>166</v>
      </c>
      <c r="F3" s="9"/>
    </row>
    <row r="4" spans="1:6" s="5" customFormat="1" ht="45" customHeight="1">
      <c r="A4" s="114" t="s">
        <v>137</v>
      </c>
      <c r="B4" s="114" t="s">
        <v>56</v>
      </c>
      <c r="C4" s="115" t="s">
        <v>206</v>
      </c>
      <c r="D4" s="115" t="s">
        <v>203</v>
      </c>
      <c r="E4" s="118" t="s">
        <v>204</v>
      </c>
      <c r="F4" s="118" t="s">
        <v>205</v>
      </c>
    </row>
    <row r="5" spans="1:6" s="5" customFormat="1" ht="45" customHeight="1">
      <c r="A5" s="114"/>
      <c r="B5" s="114"/>
      <c r="C5" s="116"/>
      <c r="D5" s="116"/>
      <c r="E5" s="118"/>
      <c r="F5" s="118"/>
    </row>
    <row r="6" spans="1:6" s="3" customFormat="1" ht="14.25">
      <c r="A6" s="46">
        <v>1</v>
      </c>
      <c r="B6" s="51">
        <v>2</v>
      </c>
      <c r="C6" s="46">
        <v>3</v>
      </c>
      <c r="D6" s="51">
        <v>4</v>
      </c>
      <c r="E6" s="46">
        <v>5</v>
      </c>
      <c r="F6" s="51">
        <v>6</v>
      </c>
    </row>
    <row r="7" spans="1:7" s="2" customFormat="1" ht="30" customHeight="1">
      <c r="A7" s="22" t="s">
        <v>0</v>
      </c>
      <c r="B7" s="38" t="s">
        <v>174</v>
      </c>
      <c r="C7" s="12">
        <f>C8+C9+C10+C15+C16+C17+C18+C19+C20+C21+C22+C23+C24+C25+C29+C30+C32+C33</f>
        <v>62485562</v>
      </c>
      <c r="D7" s="12">
        <f>D8+D9+D10+D15+D16+D17+D18+D19+D20+D21+D22+D23+D24+D25+D29+D30+D32+D33</f>
        <v>62485562</v>
      </c>
      <c r="E7" s="12" t="str">
        <f>IF(C7=D7,"-",D7-C7)</f>
        <v>-</v>
      </c>
      <c r="F7" s="99">
        <f>IF(C7=0,"-",D7/C7)</f>
        <v>1</v>
      </c>
      <c r="G7" s="98"/>
    </row>
    <row r="8" spans="1:6" ht="33" customHeight="1">
      <c r="A8" s="28" t="s">
        <v>1</v>
      </c>
      <c r="B8" s="76" t="s">
        <v>138</v>
      </c>
      <c r="C8" s="79">
        <f>Dolnośląski!C8+KujawskoPomorski!C8+Lubelski!C8+Lubuski!C8+Łódzki!C8+Małopolski!C8+Mazowiecki!C8+Opolski!C8+Podkarpacki!C8+Podlaski!C8+Pomorski!C8+Śląski!C8+Świętokrzyski!C8+WarmińskoMazurski!C8+Wielkopolski!C8+Zachodniopomorski!C8</f>
        <v>7633992</v>
      </c>
      <c r="D8" s="79">
        <f>Dolnośląski!D8+KujawskoPomorski!D8+Lubelski!D8+Lubuski!D8+Łódzki!D8+Małopolski!D8+Mazowiecki!D8+Opolski!D8+Podkarpacki!D8+Podlaski!D8+Pomorski!D8+Śląski!D8+Świętokrzyski!D8+WarmińskoMazurski!D8+Wielkopolski!D8+Zachodniopomorski!D8</f>
        <v>7633992</v>
      </c>
      <c r="E8" s="100" t="str">
        <f aca="true" t="shared" si="0" ref="E8:E63">IF(C8=D8,"-",D8-C8)</f>
        <v>-</v>
      </c>
      <c r="F8" s="101">
        <f aca="true" t="shared" si="1" ref="F8:F63">IF(C8=0,"-",D8/C8)</f>
        <v>1</v>
      </c>
    </row>
    <row r="9" spans="1:6" ht="33" customHeight="1">
      <c r="A9" s="28" t="s">
        <v>2</v>
      </c>
      <c r="B9" s="76" t="s">
        <v>139</v>
      </c>
      <c r="C9" s="79">
        <f>Dolnośląski!C9+KujawskoPomorski!C9+Lubelski!C9+Lubuski!C9+Łódzki!C9+Małopolski!C9+Mazowiecki!C9+Opolski!C9+Podkarpacki!C9+Podlaski!C9+Pomorski!C9+Śląski!C9+Świętokrzyski!C9+WarmińskoMazurski!C9+Wielkopolski!C9+Zachodniopomorski!C9</f>
        <v>5092112</v>
      </c>
      <c r="D9" s="79">
        <f>Dolnośląski!D9+KujawskoPomorski!D9+Lubelski!D9+Lubuski!D9+Łódzki!D9+Małopolski!D9+Mazowiecki!D9+Opolski!D9+Podkarpacki!D9+Podlaski!D9+Pomorski!D9+Śląski!D9+Świętokrzyski!D9+WarmińskoMazurski!D9+Wielkopolski!D9+Zachodniopomorski!D9</f>
        <v>5271651</v>
      </c>
      <c r="E9" s="100">
        <f t="shared" si="0"/>
        <v>179539</v>
      </c>
      <c r="F9" s="101">
        <f t="shared" si="1"/>
        <v>1.0353</v>
      </c>
    </row>
    <row r="10" spans="1:6" ht="33" customHeight="1">
      <c r="A10" s="28" t="s">
        <v>3</v>
      </c>
      <c r="B10" s="76" t="s">
        <v>136</v>
      </c>
      <c r="C10" s="79">
        <f>Dolnośląski!C10+KujawskoPomorski!C10+Lubelski!C10+Lubuski!C10+Łódzki!C10+Małopolski!C10+Mazowiecki!C10+Opolski!C10+Podkarpacki!C10+Podlaski!C10+Pomorski!C10+Śląski!C10+Świętokrzyski!C10+WarmińskoMazurski!C10+Wielkopolski!C10+Zachodniopomorski!C10</f>
        <v>27239234</v>
      </c>
      <c r="D10" s="79">
        <f>Dolnośląski!D10+KujawskoPomorski!D10+Lubelski!D10+Lubuski!D10+Łódzki!D10+Małopolski!D10+Mazowiecki!D10+Opolski!D10+Podkarpacki!D10+Podlaski!D10+Pomorski!D10+Śląski!D10+Świętokrzyski!D10+WarmińskoMazurski!D10+Wielkopolski!D10+Zachodniopomorski!D10</f>
        <v>29740805</v>
      </c>
      <c r="E10" s="100">
        <f t="shared" si="0"/>
        <v>2501571</v>
      </c>
      <c r="F10" s="101">
        <f t="shared" si="1"/>
        <v>1.0918</v>
      </c>
    </row>
    <row r="11" spans="1:6" ht="31.5" customHeight="1">
      <c r="A11" s="77" t="s">
        <v>58</v>
      </c>
      <c r="B11" s="88" t="s">
        <v>167</v>
      </c>
      <c r="C11" s="79">
        <f>Dolnośląski!C11+KujawskoPomorski!C11+Lubelski!C11+Lubuski!C11+Łódzki!C11+Małopolski!C11+Mazowiecki!C11+Opolski!C11+Podkarpacki!C11+Podlaski!C11+Pomorski!C11+Śląski!C11+Świętokrzyski!C11+WarmińskoMazurski!C11+Wielkopolski!C11+Zachodniopomorski!C11</f>
        <v>1923499</v>
      </c>
      <c r="D11" s="79">
        <f>Dolnośląski!D11+KujawskoPomorski!D11+Lubelski!D11+Lubuski!D11+Łódzki!D11+Małopolski!D11+Mazowiecki!D11+Opolski!D11+Podkarpacki!D11+Podlaski!D11+Pomorski!D11+Śląski!D11+Świętokrzyski!D11+WarmińskoMazurski!D11+Wielkopolski!D11+Zachodniopomorski!D11</f>
        <v>2099881</v>
      </c>
      <c r="E11" s="100">
        <f t="shared" si="0"/>
        <v>176382</v>
      </c>
      <c r="F11" s="101">
        <f t="shared" si="1"/>
        <v>1.0917</v>
      </c>
    </row>
    <row r="12" spans="1:6" ht="31.5" customHeight="1">
      <c r="A12" s="77" t="s">
        <v>168</v>
      </c>
      <c r="B12" s="88" t="s">
        <v>171</v>
      </c>
      <c r="C12" s="79">
        <f>Dolnośląski!C12+KujawskoPomorski!C12+Lubelski!C12+Lubuski!C12+Łódzki!C12+Małopolski!C12+Mazowiecki!C12+Opolski!C12+Podkarpacki!C12+Podlaski!C12+Pomorski!C12+Śląski!C12+Świętokrzyski!C12+WarmińskoMazurski!C12+Wielkopolski!C12+Zachodniopomorski!C12</f>
        <v>1716786</v>
      </c>
      <c r="D12" s="79">
        <f>Dolnośląski!D12+KujawskoPomorski!D12+Lubelski!D12+Lubuski!D12+Łódzki!D12+Małopolski!D12+Mazowiecki!D12+Opolski!D12+Podkarpacki!D12+Podlaski!D12+Pomorski!D12+Śląski!D12+Świętokrzyski!D12+WarmińskoMazurski!D12+Wielkopolski!D12+Zachodniopomorski!D12</f>
        <v>1875041</v>
      </c>
      <c r="E12" s="100">
        <f t="shared" si="0"/>
        <v>158255</v>
      </c>
      <c r="F12" s="101">
        <f t="shared" si="1"/>
        <v>1.0922</v>
      </c>
    </row>
    <row r="13" spans="1:8" ht="31.5" customHeight="1">
      <c r="A13" s="77" t="s">
        <v>169</v>
      </c>
      <c r="B13" s="88" t="s">
        <v>172</v>
      </c>
      <c r="C13" s="79">
        <f>Dolnośląski!C13+KujawskoPomorski!C13+Lubelski!C13+Lubuski!C13+Łódzki!C13+Małopolski!C13+Mazowiecki!C13+Opolski!C13+Podkarpacki!C13+Podlaski!C13+Pomorski!C13+Śląski!C13+Świętokrzyski!C13+WarmińskoMazurski!C13+Wielkopolski!C13+Zachodniopomorski!C13</f>
        <v>1344999</v>
      </c>
      <c r="D13" s="79">
        <f>Dolnośląski!D13+KujawskoPomorski!D13+Lubelski!D13+Lubuski!D13+Łódzki!D13+Małopolski!D13+Mazowiecki!D13+Opolski!D13+Podkarpacki!D13+Podlaski!D13+Pomorski!D13+Śląski!D13+Świętokrzyski!D13+WarmińskoMazurski!D13+Wielkopolski!D13+Zachodniopomorski!D13</f>
        <v>1490228</v>
      </c>
      <c r="E13" s="100">
        <f t="shared" si="0"/>
        <v>145229</v>
      </c>
      <c r="F13" s="101">
        <f t="shared" si="1"/>
        <v>1.108</v>
      </c>
      <c r="H13" s="85"/>
    </row>
    <row r="14" spans="1:6" ht="31.5" customHeight="1">
      <c r="A14" s="77" t="s">
        <v>170</v>
      </c>
      <c r="B14" s="88" t="s">
        <v>173</v>
      </c>
      <c r="C14" s="79">
        <f>Dolnośląski!C14+KujawskoPomorski!C14+Lubelski!C14+Lubuski!C14+Łódzki!C14+Małopolski!C14+Mazowiecki!C14+Opolski!C14+Podkarpacki!C14+Podlaski!C14+Pomorski!C14+Śląski!C14+Świętokrzyski!C14+WarmińskoMazurski!C14+Wielkopolski!C14+Zachodniopomorski!C14</f>
        <v>671306</v>
      </c>
      <c r="D14" s="79">
        <f>Dolnośląski!D14+KujawskoPomorski!D14+Lubelski!D14+Lubuski!D14+Łódzki!D14+Małopolski!D14+Mazowiecki!D14+Opolski!D14+Podkarpacki!D14+Podlaski!D14+Pomorski!D14+Śląski!D14+Świętokrzyski!D14+WarmińskoMazurski!D14+Wielkopolski!D14+Zachodniopomorski!D14</f>
        <v>739546</v>
      </c>
      <c r="E14" s="100">
        <f t="shared" si="0"/>
        <v>68240</v>
      </c>
      <c r="F14" s="101">
        <f t="shared" si="1"/>
        <v>1.1017</v>
      </c>
    </row>
    <row r="15" spans="1:6" ht="33" customHeight="1">
      <c r="A15" s="28" t="s">
        <v>4</v>
      </c>
      <c r="B15" s="76" t="s">
        <v>144</v>
      </c>
      <c r="C15" s="79">
        <f>Dolnośląski!C15+KujawskoPomorski!C15+Lubelski!C15+Lubuski!C15+Łódzki!C15+Małopolski!C15+Mazowiecki!C15+Opolski!C15+Podkarpacki!C15+Podlaski!C15+Pomorski!C15+Śląski!C15+Świętokrzyski!C15+WarmińskoMazurski!C15+Wielkopolski!C15+Zachodniopomorski!C15</f>
        <v>2032467</v>
      </c>
      <c r="D15" s="79">
        <f>Dolnośląski!D15+KujawskoPomorski!D15+Lubelski!D15+Lubuski!D15+Łódzki!D15+Małopolski!D15+Mazowiecki!D15+Opolski!D15+Podkarpacki!D15+Podlaski!D15+Pomorski!D15+Śląski!D15+Świętokrzyski!D15+WarmińskoMazurski!D15+Wielkopolski!D15+Zachodniopomorski!D15</f>
        <v>2290415</v>
      </c>
      <c r="E15" s="100">
        <f t="shared" si="0"/>
        <v>257948</v>
      </c>
      <c r="F15" s="101">
        <f t="shared" si="1"/>
        <v>1.1269</v>
      </c>
    </row>
    <row r="16" spans="1:6" ht="33" customHeight="1">
      <c r="A16" s="28" t="s">
        <v>5</v>
      </c>
      <c r="B16" s="76" t="s">
        <v>140</v>
      </c>
      <c r="C16" s="79">
        <f>Dolnośląski!C16+KujawskoPomorski!C16+Lubelski!C16+Lubuski!C16+Łódzki!C16+Małopolski!C16+Mazowiecki!C16+Opolski!C16+Podkarpacki!C16+Podlaski!C16+Pomorski!C16+Śląski!C16+Świętokrzyski!C16+WarmińskoMazurski!C16+Wielkopolski!C16+Zachodniopomorski!C16</f>
        <v>1931357</v>
      </c>
      <c r="D16" s="79">
        <f>Dolnośląski!D16+KujawskoPomorski!D16+Lubelski!D16+Lubuski!D16+Łódzki!D16+Małopolski!D16+Mazowiecki!D16+Opolski!D16+Podkarpacki!D16+Podlaski!D16+Pomorski!D16+Śląski!D16+Świętokrzyski!D16+WarmińskoMazurski!D16+Wielkopolski!D16+Zachodniopomorski!D16</f>
        <v>2062509</v>
      </c>
      <c r="E16" s="100">
        <f t="shared" si="0"/>
        <v>131152</v>
      </c>
      <c r="F16" s="101">
        <f t="shared" si="1"/>
        <v>1.0679</v>
      </c>
    </row>
    <row r="17" spans="1:6" ht="33" customHeight="1">
      <c r="A17" s="28" t="s">
        <v>6</v>
      </c>
      <c r="B17" s="76" t="s">
        <v>146</v>
      </c>
      <c r="C17" s="79">
        <f>Dolnośląski!C17+KujawskoPomorski!C17+Lubelski!C17+Lubuski!C17+Łódzki!C17+Małopolski!C17+Mazowiecki!C17+Opolski!C17+Podkarpacki!C17+Podlaski!C17+Pomorski!C17+Śląski!C17+Świętokrzyski!C17+WarmińskoMazurski!C17+Wielkopolski!C17+Zachodniopomorski!C17</f>
        <v>1038767</v>
      </c>
      <c r="D17" s="79">
        <f>Dolnośląski!D17+KujawskoPomorski!D17+Lubelski!D17+Lubuski!D17+Łódzki!D17+Małopolski!D17+Mazowiecki!D17+Opolski!D17+Podkarpacki!D17+Podlaski!D17+Pomorski!D17+Śląski!D17+Świętokrzyski!D17+WarmińskoMazurski!D17+Wielkopolski!D17+Zachodniopomorski!D17</f>
        <v>1089669</v>
      </c>
      <c r="E17" s="100">
        <f t="shared" si="0"/>
        <v>50902</v>
      </c>
      <c r="F17" s="101">
        <f t="shared" si="1"/>
        <v>1.049</v>
      </c>
    </row>
    <row r="18" spans="1:6" ht="33" customHeight="1">
      <c r="A18" s="28" t="s">
        <v>7</v>
      </c>
      <c r="B18" s="76" t="s">
        <v>145</v>
      </c>
      <c r="C18" s="79">
        <f>Dolnośląski!C18+KujawskoPomorski!C18+Lubelski!C18+Lubuski!C18+Łódzki!C18+Małopolski!C18+Mazowiecki!C18+Opolski!C18+Podkarpacki!C18+Podlaski!C18+Pomorski!C18+Śląski!C18+Świętokrzyski!C18+WarmińskoMazurski!C18+Wielkopolski!C18+Zachodniopomorski!C18</f>
        <v>340729</v>
      </c>
      <c r="D18" s="79">
        <f>Dolnośląski!D18+KujawskoPomorski!D18+Lubelski!D18+Lubuski!D18+Łódzki!D18+Małopolski!D18+Mazowiecki!D18+Opolski!D18+Podkarpacki!D18+Podlaski!D18+Pomorski!D18+Śląski!D18+Świętokrzyski!D18+WarmińskoMazurski!D18+Wielkopolski!D18+Zachodniopomorski!D18</f>
        <v>354498</v>
      </c>
      <c r="E18" s="100">
        <f t="shared" si="0"/>
        <v>13769</v>
      </c>
      <c r="F18" s="101">
        <f t="shared" si="1"/>
        <v>1.0404</v>
      </c>
    </row>
    <row r="19" spans="1:6" ht="33" customHeight="1">
      <c r="A19" s="28" t="s">
        <v>8</v>
      </c>
      <c r="B19" s="76" t="s">
        <v>141</v>
      </c>
      <c r="C19" s="79">
        <f>Dolnośląski!C19+KujawskoPomorski!C19+Lubelski!C19+Lubuski!C19+Łódzki!C19+Małopolski!C19+Mazowiecki!C19+Opolski!C19+Podkarpacki!C19+Podlaski!C19+Pomorski!C19+Śląski!C19+Świętokrzyski!C19+WarmińskoMazurski!C19+Wielkopolski!C19+Zachodniopomorski!C19</f>
        <v>1774433</v>
      </c>
      <c r="D19" s="79">
        <f>Dolnośląski!D19+KujawskoPomorski!D19+Lubelski!D19+Lubuski!D19+Łódzki!D19+Małopolski!D19+Mazowiecki!D19+Opolski!D19+Podkarpacki!D19+Podlaski!D19+Pomorski!D19+Śląski!D19+Świętokrzyski!D19+WarmińskoMazurski!D19+Wielkopolski!D19+Zachodniopomorski!D19</f>
        <v>1824612</v>
      </c>
      <c r="E19" s="100">
        <f t="shared" si="0"/>
        <v>50179</v>
      </c>
      <c r="F19" s="101">
        <f t="shared" si="1"/>
        <v>1.0283</v>
      </c>
    </row>
    <row r="20" spans="1:6" ht="33" customHeight="1">
      <c r="A20" s="28" t="s">
        <v>9</v>
      </c>
      <c r="B20" s="76" t="s">
        <v>142</v>
      </c>
      <c r="C20" s="79">
        <f>Dolnośląski!C20+KujawskoPomorski!C20+Lubelski!C20+Lubuski!C20+Łódzki!C20+Małopolski!C20+Mazowiecki!C20+Opolski!C20+Podkarpacki!C20+Podlaski!C20+Pomorski!C20+Śląski!C20+Świętokrzyski!C20+WarmińskoMazurski!C20+Wielkopolski!C20+Zachodniopomorski!C20</f>
        <v>622327</v>
      </c>
      <c r="D20" s="79">
        <f>Dolnośląski!D20+KujawskoPomorski!D20+Lubelski!D20+Lubuski!D20+Łódzki!D20+Małopolski!D20+Mazowiecki!D20+Opolski!D20+Podkarpacki!D20+Podlaski!D20+Pomorski!D20+Śląski!D20+Świętokrzyski!D20+WarmińskoMazurski!D20+Wielkopolski!D20+Zachodniopomorski!D20</f>
        <v>622327</v>
      </c>
      <c r="E20" s="100" t="str">
        <f t="shared" si="0"/>
        <v>-</v>
      </c>
      <c r="F20" s="101">
        <f t="shared" si="1"/>
        <v>1</v>
      </c>
    </row>
    <row r="21" spans="1:6" ht="33" customHeight="1">
      <c r="A21" s="28" t="s">
        <v>10</v>
      </c>
      <c r="B21" s="76" t="s">
        <v>147</v>
      </c>
      <c r="C21" s="79">
        <f>Dolnośląski!C21+KujawskoPomorski!C21+Lubelski!C21+Lubuski!C21+Łódzki!C21+Małopolski!C21+Mazowiecki!C21+Opolski!C21+Podkarpacki!C21+Podlaski!C21+Pomorski!C21+Śląski!C21+Świętokrzyski!C21+WarmińskoMazurski!C21+Wielkopolski!C21+Zachodniopomorski!C21</f>
        <v>46938</v>
      </c>
      <c r="D21" s="79">
        <f>Dolnośląski!D21+KujawskoPomorski!D21+Lubelski!D21+Lubuski!D21+Łódzki!D21+Małopolski!D21+Mazowiecki!D21+Opolski!D21+Podkarpacki!D21+Podlaski!D21+Pomorski!D21+Śląski!D21+Świętokrzyski!D21+WarmińskoMazurski!D21+Wielkopolski!D21+Zachodniopomorski!D21</f>
        <v>46938</v>
      </c>
      <c r="E21" s="100" t="str">
        <f t="shared" si="0"/>
        <v>-</v>
      </c>
      <c r="F21" s="101">
        <f t="shared" si="1"/>
        <v>1</v>
      </c>
    </row>
    <row r="22" spans="1:6" ht="46.5" customHeight="1">
      <c r="A22" s="28" t="s">
        <v>11</v>
      </c>
      <c r="B22" s="76" t="s">
        <v>143</v>
      </c>
      <c r="C22" s="79">
        <f>Dolnośląski!C22+KujawskoPomorski!C22+Lubelski!C22+Lubuski!C22+Łódzki!C22+Małopolski!C22+Mazowiecki!C22+Opolski!C22+Podkarpacki!C22+Podlaski!C22+Pomorski!C22+Śląski!C22+Świętokrzyski!C22+WarmińskoMazurski!C22+Wielkopolski!C22+Zachodniopomorski!C22</f>
        <v>176268</v>
      </c>
      <c r="D22" s="79">
        <f>Dolnośląski!D22+KujawskoPomorski!D22+Lubelski!D22+Lubuski!D22+Łódzki!D22+Małopolski!D22+Mazowiecki!D22+Opolski!D22+Podkarpacki!D22+Podlaski!D22+Pomorski!D22+Śląski!D22+Świętokrzyski!D22+WarmińskoMazurski!D22+Wielkopolski!D22+Zachodniopomorski!D22</f>
        <v>180517</v>
      </c>
      <c r="E22" s="100">
        <f t="shared" si="0"/>
        <v>4249</v>
      </c>
      <c r="F22" s="101">
        <f t="shared" si="1"/>
        <v>1.0241</v>
      </c>
    </row>
    <row r="23" spans="1:6" ht="33" customHeight="1">
      <c r="A23" s="28" t="s">
        <v>12</v>
      </c>
      <c r="B23" s="76" t="s">
        <v>197</v>
      </c>
      <c r="C23" s="79">
        <f>Dolnośląski!C23+KujawskoPomorski!C23+Lubelski!C23+Lubuski!C23+Łódzki!C23+Małopolski!C23+Mazowiecki!C23+Opolski!C23+Podkarpacki!C23+Podlaski!C23+Pomorski!C23+Śląski!C23+Świętokrzyski!C23+WarmińskoMazurski!C23+Wielkopolski!C23+Zachodniopomorski!C23</f>
        <v>1544488</v>
      </c>
      <c r="D23" s="79">
        <f>Dolnośląski!D23+KujawskoPomorski!D23+Lubelski!D23+Lubuski!D23+Łódzki!D23+Małopolski!D23+Mazowiecki!D23+Opolski!D23+Podkarpacki!D23+Podlaski!D23+Pomorski!D23+Śląski!D23+Świętokrzyski!D23+WarmińskoMazurski!D23+Wielkopolski!D23+Zachodniopomorski!D23</f>
        <v>1677902</v>
      </c>
      <c r="E23" s="100">
        <f t="shared" si="0"/>
        <v>133414</v>
      </c>
      <c r="F23" s="101">
        <f t="shared" si="1"/>
        <v>1.0864</v>
      </c>
    </row>
    <row r="24" spans="1:6" ht="33" customHeight="1">
      <c r="A24" s="28" t="s">
        <v>13</v>
      </c>
      <c r="B24" s="76" t="s">
        <v>175</v>
      </c>
      <c r="C24" s="79">
        <f>Dolnośląski!C24+KujawskoPomorski!C24+Lubelski!C24+Lubuski!C24+Łódzki!C24+Małopolski!C24+Mazowiecki!C24+Opolski!C24+Podkarpacki!C24+Podlaski!C24+Pomorski!C24+Śląski!C24+Świętokrzyski!C24+WarmińskoMazurski!C24+Wielkopolski!C24+Zachodniopomorski!C24</f>
        <v>864781</v>
      </c>
      <c r="D24" s="79">
        <f>Dolnośląski!D24+KujawskoPomorski!D24+Lubelski!D24+Lubuski!D24+Łódzki!D24+Małopolski!D24+Mazowiecki!D24+Opolski!D24+Podkarpacki!D24+Podlaski!D24+Pomorski!D24+Śląski!D24+Świętokrzyski!D24+WarmińskoMazurski!D24+Wielkopolski!D24+Zachodniopomorski!D24</f>
        <v>864781</v>
      </c>
      <c r="E24" s="100" t="str">
        <f t="shared" si="0"/>
        <v>-</v>
      </c>
      <c r="F24" s="101">
        <f t="shared" si="1"/>
        <v>1</v>
      </c>
    </row>
    <row r="25" spans="1:6" ht="33" customHeight="1">
      <c r="A25" s="29" t="s">
        <v>14</v>
      </c>
      <c r="B25" s="76" t="s">
        <v>176</v>
      </c>
      <c r="C25" s="79">
        <f>Dolnośląski!C25+KujawskoPomorski!C25+Lubelski!C25+Lubuski!C25+Łódzki!C25+Małopolski!C25+Mazowiecki!C25+Opolski!C25+Podkarpacki!C25+Podlaski!C25+Pomorski!C25+Śląski!C25+Świętokrzyski!C25+WarmińskoMazurski!C25+Wielkopolski!C25+Zachodniopomorski!C25</f>
        <v>8286496</v>
      </c>
      <c r="D25" s="79">
        <f>Dolnośląski!D25+KujawskoPomorski!D25+Lubelski!D25+Lubuski!D25+Łódzki!D25+Małopolski!D25+Mazowiecki!D25+Opolski!D25+Podkarpacki!D25+Podlaski!D25+Pomorski!D25+Śląski!D25+Świętokrzyski!D25+WarmińskoMazurski!D25+Wielkopolski!D25+Zachodniopomorski!D25</f>
        <v>8286496</v>
      </c>
      <c r="E25" s="100" t="str">
        <f t="shared" si="0"/>
        <v>-</v>
      </c>
      <c r="F25" s="101">
        <f t="shared" si="1"/>
        <v>1</v>
      </c>
    </row>
    <row r="26" spans="1:6" ht="31.5">
      <c r="A26" s="27" t="s">
        <v>148</v>
      </c>
      <c r="B26" s="88" t="s">
        <v>178</v>
      </c>
      <c r="C26" s="79">
        <f>Dolnośląski!C26+KujawskoPomorski!C26+Lubelski!C26+Lubuski!C26+Łódzki!C26+Małopolski!C26+Mazowiecki!C26+Opolski!C26+Podkarpacki!C26+Podlaski!C26+Pomorski!C26+Śląski!C26+Świętokrzyski!C26+WarmińskoMazurski!C26+Wielkopolski!C26+Zachodniopomorski!C26</f>
        <v>8249669</v>
      </c>
      <c r="D26" s="79">
        <f>Dolnośląski!D26+KujawskoPomorski!D26+Lubelski!D26+Lubuski!D26+Łódzki!D26+Małopolski!D26+Mazowiecki!D26+Opolski!D26+Podkarpacki!D26+Podlaski!D26+Pomorski!D26+Śląski!D26+Świętokrzyski!D26+WarmińskoMazurski!D26+Wielkopolski!D26+Zachodniopomorski!D26</f>
        <v>8249669</v>
      </c>
      <c r="E26" s="100" t="str">
        <f t="shared" si="0"/>
        <v>-</v>
      </c>
      <c r="F26" s="101">
        <f t="shared" si="1"/>
        <v>1</v>
      </c>
    </row>
    <row r="27" spans="1:6" ht="31.5" customHeight="1">
      <c r="A27" s="77" t="s">
        <v>177</v>
      </c>
      <c r="B27" s="88" t="s">
        <v>180</v>
      </c>
      <c r="C27" s="79">
        <f>Dolnośląski!C27+KujawskoPomorski!C27+Lubelski!C27+Lubuski!C27+Łódzki!C27+Małopolski!C27+Mazowiecki!C27+Opolski!C27+Podkarpacki!C27+Podlaski!C27+Pomorski!C27+Śląski!C27+Świętokrzyski!C27+WarmińskoMazurski!C27+Wielkopolski!C27+Zachodniopomorski!C27</f>
        <v>27382</v>
      </c>
      <c r="D27" s="79">
        <f>Dolnośląski!D27+KujawskoPomorski!D27+Lubelski!D27+Lubuski!D27+Łódzki!D27+Małopolski!D27+Mazowiecki!D27+Opolski!D27+Podkarpacki!D27+Podlaski!D27+Pomorski!D27+Śląski!D27+Świętokrzyski!D27+WarmińskoMazurski!D27+Wielkopolski!D27+Zachodniopomorski!D27</f>
        <v>27382</v>
      </c>
      <c r="E27" s="100" t="str">
        <f t="shared" si="0"/>
        <v>-</v>
      </c>
      <c r="F27" s="101">
        <f t="shared" si="1"/>
        <v>1</v>
      </c>
    </row>
    <row r="28" spans="1:6" ht="31.5" customHeight="1">
      <c r="A28" s="77" t="s">
        <v>181</v>
      </c>
      <c r="B28" s="88" t="s">
        <v>179</v>
      </c>
      <c r="C28" s="79">
        <f>Dolnośląski!C28+KujawskoPomorski!C28+Lubelski!C28+Lubuski!C28+Łódzki!C28+Małopolski!C28+Mazowiecki!C28+Opolski!C28+Podkarpacki!C28+Podlaski!C28+Pomorski!C28+Śląski!C28+Świętokrzyski!C28+WarmińskoMazurski!C28+Wielkopolski!C28+Zachodniopomorski!C28</f>
        <v>9445</v>
      </c>
      <c r="D28" s="79">
        <f>Dolnośląski!D28+KujawskoPomorski!D28+Lubelski!D28+Lubuski!D28+Łódzki!D28+Małopolski!D28+Mazowiecki!D28+Opolski!D28+Podkarpacki!D28+Podlaski!D28+Pomorski!D28+Śląski!D28+Świętokrzyski!D28+WarmińskoMazurski!D28+Wielkopolski!D28+Zachodniopomorski!D28</f>
        <v>9445</v>
      </c>
      <c r="E28" s="100" t="str">
        <f t="shared" si="0"/>
        <v>-</v>
      </c>
      <c r="F28" s="101">
        <f t="shared" si="1"/>
        <v>1</v>
      </c>
    </row>
    <row r="29" spans="1:6" ht="33" customHeight="1">
      <c r="A29" s="30" t="s">
        <v>15</v>
      </c>
      <c r="B29" s="35" t="s">
        <v>124</v>
      </c>
      <c r="C29" s="79">
        <f>Dolnośląski!C29+KujawskoPomorski!C29+Lubelski!C29+Lubuski!C29+Łódzki!C29+Małopolski!C29+Mazowiecki!C29+Opolski!C29+Podkarpacki!C29+Podlaski!C29+Pomorski!C29+Śląski!C29+Świętokrzyski!C29+WarmińskoMazurski!C29+Wielkopolski!C29+Zachodniopomorski!C29</f>
        <v>0</v>
      </c>
      <c r="D29" s="79">
        <f>Dolnośląski!D29+KujawskoPomorski!D29+Lubelski!D29+Lubuski!D29+Łódzki!D29+Małopolski!D29+Mazowiecki!D29+Opolski!D29+Podkarpacki!D29+Podlaski!D29+Pomorski!D29+Śląski!D29+Świętokrzyski!D29+WarmińskoMazurski!D29+Wielkopolski!D29+Zachodniopomorski!D29</f>
        <v>0</v>
      </c>
      <c r="E29" s="100" t="str">
        <f t="shared" si="0"/>
        <v>-</v>
      </c>
      <c r="F29" s="101" t="str">
        <f t="shared" si="1"/>
        <v>-</v>
      </c>
    </row>
    <row r="30" spans="1:6" ht="33" customHeight="1">
      <c r="A30" s="30" t="s">
        <v>121</v>
      </c>
      <c r="B30" s="39" t="s">
        <v>182</v>
      </c>
      <c r="C30" s="79">
        <f>Dolnośląski!C30+KujawskoPomorski!C30+Lubelski!C30+Lubuski!C30+Łódzki!C30+Małopolski!C30+Mazowiecki!C30+Opolski!C30+Podkarpacki!C30+Podlaski!C30+Pomorski!C30+Śląski!C30+Świętokrzyski!C30+WarmińskoMazurski!C30+Wielkopolski!C30+Zachodniopomorski!C30</f>
        <v>0</v>
      </c>
      <c r="D30" s="79">
        <f>Dolnośląski!D30+KujawskoPomorski!D30+Lubelski!D30+Lubuski!D30+Łódzki!D30+Małopolski!D30+Mazowiecki!D30+Opolski!D30+Podkarpacki!D30+Podlaski!D30+Pomorski!D30+Śląski!D30+Świętokrzyski!D30+WarmińskoMazurski!D30+Wielkopolski!D30+Zachodniopomorski!D30</f>
        <v>0</v>
      </c>
      <c r="E30" s="100" t="str">
        <f t="shared" si="0"/>
        <v>-</v>
      </c>
      <c r="F30" s="101" t="str">
        <f t="shared" si="1"/>
        <v>-</v>
      </c>
    </row>
    <row r="31" spans="1:6" ht="31.5" customHeight="1">
      <c r="A31" s="77" t="s">
        <v>183</v>
      </c>
      <c r="B31" s="88" t="s">
        <v>199</v>
      </c>
      <c r="C31" s="79">
        <f>Dolnośląski!C31+KujawskoPomorski!C31+Lubelski!C31+Lubuski!C31+Łódzki!C31+Małopolski!C31+Mazowiecki!C31+Opolski!C31+Podkarpacki!C31+Podlaski!C31+Pomorski!C31+Śląski!C31+Świętokrzyski!C31+WarmińskoMazurski!C31+Wielkopolski!C31+Zachodniopomorski!C31</f>
        <v>0</v>
      </c>
      <c r="D31" s="79">
        <f>Dolnośląski!D31+KujawskoPomorski!D31+Lubelski!D31+Lubuski!D31+Łódzki!D31+Małopolski!D31+Mazowiecki!D31+Opolski!D31+Podkarpacki!D31+Podlaski!D31+Pomorski!D31+Śląski!D31+Świętokrzyski!D31+WarmińskoMazurski!D31+Wielkopolski!D31+Zachodniopomorski!D31</f>
        <v>0</v>
      </c>
      <c r="E31" s="100" t="str">
        <f t="shared" si="0"/>
        <v>-</v>
      </c>
      <c r="F31" s="101" t="str">
        <f t="shared" si="1"/>
        <v>-</v>
      </c>
    </row>
    <row r="32" spans="1:6" ht="33" customHeight="1">
      <c r="A32" s="30" t="s">
        <v>122</v>
      </c>
      <c r="B32" s="36" t="s">
        <v>125</v>
      </c>
      <c r="C32" s="79">
        <f>Dolnośląski!C32+KujawskoPomorski!C32+Lubelski!C32+Lubuski!C32+Łódzki!C32+Małopolski!C32+Mazowiecki!C32+Opolski!C32+Podkarpacki!C32+Podlaski!C32+Pomorski!C32+Śląski!C32+Świętokrzyski!C32+WarmińskoMazurski!C32+Wielkopolski!C32+Zachodniopomorski!C32</f>
        <v>3475633</v>
      </c>
      <c r="D32" s="79">
        <f>Dolnośląski!D32+KujawskoPomorski!D32+Lubelski!D32+Lubuski!D32+Łódzki!D32+Małopolski!D32+Mazowiecki!D32+Opolski!D32+Podkarpacki!D32+Podlaski!D32+Pomorski!D32+Śląski!D32+Świętokrzyski!D32+WarmińskoMazurski!D32+Wielkopolski!D32+Zachodniopomorski!D32</f>
        <v>0</v>
      </c>
      <c r="E32" s="100">
        <f t="shared" si="0"/>
        <v>-3475633</v>
      </c>
      <c r="F32" s="101">
        <f t="shared" si="1"/>
        <v>0</v>
      </c>
    </row>
    <row r="33" spans="1:6" ht="33" customHeight="1">
      <c r="A33" s="30" t="s">
        <v>123</v>
      </c>
      <c r="B33" s="39" t="s">
        <v>198</v>
      </c>
      <c r="C33" s="79">
        <f>Dolnośląski!C33+KujawskoPomorski!C33+Lubelski!C33+Lubuski!C33+Łódzki!C33+Małopolski!C33+Mazowiecki!C33+Opolski!C33+Podkarpacki!C33+Podlaski!C33+Pomorski!C33+Śląski!C33+Świętokrzyski!C33+WarmińskoMazurski!C33+Wielkopolski!C33+Zachodniopomorski!C33</f>
        <v>385540</v>
      </c>
      <c r="D33" s="79">
        <f>Dolnośląski!D33+KujawskoPomorski!D33+Lubelski!D33+Lubuski!D33+Łódzki!D33+Małopolski!D33+Mazowiecki!D33+Opolski!D33+Podkarpacki!D33+Podlaski!D33+Pomorski!D33+Śląski!D33+Świętokrzyski!D33+WarmińskoMazurski!D33+Wielkopolski!D33+Zachodniopomorski!D33</f>
        <v>538450</v>
      </c>
      <c r="E33" s="100">
        <f t="shared" si="0"/>
        <v>152910</v>
      </c>
      <c r="F33" s="101">
        <f t="shared" si="1"/>
        <v>1.3966</v>
      </c>
    </row>
    <row r="34" spans="1:6" s="4" customFormat="1" ht="31.5" customHeight="1">
      <c r="A34" s="31" t="s">
        <v>60</v>
      </c>
      <c r="B34" s="37" t="s">
        <v>61</v>
      </c>
      <c r="C34" s="80">
        <f>Dolnośląski!C34+KujawskoPomorski!C34+Lubelski!C34+Lubuski!C34+Łódzki!C34+Małopolski!C34+Mazowiecki!C34+Opolski!C34+Podkarpacki!C34+Podlaski!C34+Pomorski!C34+Śląski!C34+Świętokrzyski!C34+WarmińskoMazurski!C34+Wielkopolski!C34+Zachodniopomorski!C34</f>
        <v>0</v>
      </c>
      <c r="D34" s="80">
        <f>Dolnośląski!D34+KujawskoPomorski!D34+Lubelski!D34+Lubuski!D34+Łódzki!D34+Małopolski!D34+Mazowiecki!D34+Opolski!D34+Podkarpacki!D34+Podlaski!D34+Pomorski!D34+Śląski!D34+Świętokrzyski!D34+WarmińskoMazurski!D34+Wielkopolski!D34+Zachodniopomorski!D34</f>
        <v>0</v>
      </c>
      <c r="E34" s="14" t="str">
        <f t="shared" si="0"/>
        <v>-</v>
      </c>
      <c r="F34" s="102" t="str">
        <f t="shared" si="1"/>
        <v>-</v>
      </c>
    </row>
    <row r="35" spans="1:6" s="4" customFormat="1" ht="31.5" customHeight="1">
      <c r="A35" s="31" t="s">
        <v>59</v>
      </c>
      <c r="B35" s="37" t="s">
        <v>62</v>
      </c>
      <c r="C35" s="80">
        <f>Dolnośląski!C35+KujawskoPomorski!C35+Lubelski!C35+Lubuski!C35+Łódzki!C35+Małopolski!C35+Mazowiecki!C35+Opolski!C35+Podkarpacki!C35+Podlaski!C35+Pomorski!C35+Śląski!C35+Świętokrzyski!C35+WarmińskoMazurski!C35+Wielkopolski!C35+Zachodniopomorski!C35</f>
        <v>1839892</v>
      </c>
      <c r="D35" s="80">
        <f>Dolnośląski!D35+KujawskoPomorski!D35+Lubelski!D35+Lubuski!D35+Łódzki!D35+Małopolski!D35+Mazowiecki!D35+Opolski!D35+Podkarpacki!D35+Podlaski!D35+Pomorski!D35+Śląski!D35+Świętokrzyski!D35+WarmińskoMazurski!D35+Wielkopolski!D35+Zachodniopomorski!D35</f>
        <v>1839892</v>
      </c>
      <c r="E35" s="14" t="str">
        <f t="shared" si="0"/>
        <v>-</v>
      </c>
      <c r="F35" s="102">
        <f t="shared" si="1"/>
        <v>1</v>
      </c>
    </row>
    <row r="36" spans="1:6" s="4" customFormat="1" ht="42.75" customHeight="1">
      <c r="A36" s="31" t="s">
        <v>184</v>
      </c>
      <c r="B36" s="37" t="s">
        <v>185</v>
      </c>
      <c r="C36" s="80">
        <f>Dolnośląski!C36+KujawskoPomorski!C36+Lubelski!C36+Lubuski!C36+Łódzki!C36+Małopolski!C36+Mazowiecki!C36+Opolski!C36+Podkarpacki!C36+Podlaski!C36+Pomorski!C36+Śląski!C36+Świętokrzyski!C36+WarmińskoMazurski!C36+Wielkopolski!C36+Zachodniopomorski!C36</f>
        <v>10674588</v>
      </c>
      <c r="D36" s="80">
        <f>Dolnośląski!D36+KujawskoPomorski!D36+Lubelski!D36+Lubuski!D36+Łódzki!D36+Małopolski!D36+Mazowiecki!D36+Opolski!D36+Podkarpacki!D36+Podlaski!D36+Pomorski!D36+Śląski!D36+Świętokrzyski!D36+WarmińskoMazurski!D36+Wielkopolski!D36+Zachodniopomorski!D36</f>
        <v>10901083</v>
      </c>
      <c r="E36" s="14">
        <f t="shared" si="0"/>
        <v>226495</v>
      </c>
      <c r="F36" s="102">
        <f t="shared" si="1"/>
        <v>1.0212</v>
      </c>
    </row>
    <row r="37" spans="1:6" s="2" customFormat="1" ht="30" customHeight="1">
      <c r="A37" s="25" t="s">
        <v>16</v>
      </c>
      <c r="B37" s="44" t="s">
        <v>195</v>
      </c>
      <c r="C37" s="23">
        <f>C38+C39+C40+C48+C50+C56+C57+C55</f>
        <v>476625</v>
      </c>
      <c r="D37" s="23">
        <f>D38+D39+D40+D48+D50+D56+D57+D55</f>
        <v>476625</v>
      </c>
      <c r="E37" s="12" t="str">
        <f t="shared" si="0"/>
        <v>-</v>
      </c>
      <c r="F37" s="103">
        <f t="shared" si="1"/>
        <v>1</v>
      </c>
    </row>
    <row r="38" spans="1:6" ht="28.5" customHeight="1">
      <c r="A38" s="30" t="s">
        <v>17</v>
      </c>
      <c r="B38" s="39" t="s">
        <v>18</v>
      </c>
      <c r="C38" s="75">
        <f>Dolnośląski!C38+KujawskoPomorski!C38+Lubelski!C38+Lubuski!C38+Łódzki!C38+Małopolski!C38+Mazowiecki!C38+Opolski!C38+Podkarpacki!C38+Podlaski!C38+Pomorski!C38+Śląski!C38+Świętokrzyski!C38+WarmińskoMazurski!C38+Wielkopolski!C38+Zachodniopomorski!C38</f>
        <v>21419</v>
      </c>
      <c r="D38" s="75">
        <f>Dolnośląski!D38+KujawskoPomorski!D38+Lubelski!D38+Lubuski!D38+Łódzki!D38+Małopolski!D38+Mazowiecki!D38+Opolski!D38+Podkarpacki!D38+Podlaski!D38+Pomorski!D38+Śląski!D38+Świętokrzyski!D38+WarmińskoMazurski!D38+Wielkopolski!D38+Zachodniopomorski!D38</f>
        <v>21419</v>
      </c>
      <c r="E38" s="100" t="str">
        <f t="shared" si="0"/>
        <v>-</v>
      </c>
      <c r="F38" s="101">
        <f t="shared" si="1"/>
        <v>1</v>
      </c>
    </row>
    <row r="39" spans="1:6" ht="28.5" customHeight="1">
      <c r="A39" s="30" t="s">
        <v>19</v>
      </c>
      <c r="B39" s="39" t="s">
        <v>20</v>
      </c>
      <c r="C39" s="75">
        <f>Dolnośląski!C39+KujawskoPomorski!C39+Lubelski!C39+Lubuski!C39+Łódzki!C39+Małopolski!C39+Mazowiecki!C39+Opolski!C39+Podkarpacki!C39+Podlaski!C39+Pomorski!C39+Śląski!C39+Świętokrzyski!C39+WarmińskoMazurski!C39+Wielkopolski!C39+Zachodniopomorski!C39</f>
        <v>64477</v>
      </c>
      <c r="D39" s="75">
        <f>Dolnośląski!D39+KujawskoPomorski!D39+Lubelski!D39+Lubuski!D39+Łódzki!D39+Małopolski!D39+Mazowiecki!D39+Opolski!D39+Podkarpacki!D39+Podlaski!D39+Pomorski!D39+Śląski!D39+Świętokrzyski!D39+WarmińskoMazurski!D39+Wielkopolski!D39+Zachodniopomorski!D39</f>
        <v>64477</v>
      </c>
      <c r="E39" s="100" t="str">
        <f t="shared" si="0"/>
        <v>-</v>
      </c>
      <c r="F39" s="101">
        <f t="shared" si="1"/>
        <v>1</v>
      </c>
    </row>
    <row r="40" spans="1:6" ht="28.5" customHeight="1">
      <c r="A40" s="30" t="s">
        <v>21</v>
      </c>
      <c r="B40" s="40" t="s">
        <v>32</v>
      </c>
      <c r="C40" s="83">
        <f>C41+C43+C44+C45+C46+C47</f>
        <v>4223</v>
      </c>
      <c r="D40" s="83">
        <f>D41+D43+D44+D45+D46+D47</f>
        <v>4223</v>
      </c>
      <c r="E40" s="100" t="str">
        <f t="shared" si="0"/>
        <v>-</v>
      </c>
      <c r="F40" s="101">
        <f t="shared" si="1"/>
        <v>1</v>
      </c>
    </row>
    <row r="41" spans="1:6" ht="28.5" customHeight="1">
      <c r="A41" s="41" t="s">
        <v>40</v>
      </c>
      <c r="B41" s="42" t="s">
        <v>33</v>
      </c>
      <c r="C41" s="75">
        <f>Dolnośląski!C41+KujawskoPomorski!C41+Lubelski!C41+Lubuski!C41+Łódzki!C41+Małopolski!C41+Mazowiecki!C41+Opolski!C41+Podkarpacki!C41+Podlaski!C41+Pomorski!C41+Śląski!C41+Świętokrzyski!C41+WarmińskoMazurski!C41+Wielkopolski!C41+Zachodniopomorski!C41</f>
        <v>533</v>
      </c>
      <c r="D41" s="75">
        <f>Dolnośląski!D41+KujawskoPomorski!D41+Lubelski!D41+Lubuski!D41+Łódzki!D41+Małopolski!D41+Mazowiecki!D41+Opolski!D41+Podkarpacki!D41+Podlaski!D41+Pomorski!D41+Śląski!D41+Świętokrzyski!D41+WarmińskoMazurski!D41+Wielkopolski!D41+Zachodniopomorski!D41</f>
        <v>533</v>
      </c>
      <c r="E41" s="100" t="str">
        <f t="shared" si="0"/>
        <v>-</v>
      </c>
      <c r="F41" s="101">
        <f t="shared" si="1"/>
        <v>1</v>
      </c>
    </row>
    <row r="42" spans="1:6" ht="28.5" customHeight="1">
      <c r="A42" s="41" t="s">
        <v>41</v>
      </c>
      <c r="B42" s="43" t="s">
        <v>34</v>
      </c>
      <c r="C42" s="75">
        <f>Dolnośląski!C42+KujawskoPomorski!C42+Lubelski!C42+Lubuski!C42+Łódzki!C42+Małopolski!C42+Mazowiecki!C42+Opolski!C42+Podkarpacki!C42+Podlaski!C42+Pomorski!C42+Śląski!C42+Świętokrzyski!C42+WarmińskoMazurski!C42+Wielkopolski!C42+Zachodniopomorski!C42</f>
        <v>507</v>
      </c>
      <c r="D42" s="75">
        <f>Dolnośląski!D42+KujawskoPomorski!D42+Lubelski!D42+Lubuski!D42+Łódzki!D42+Małopolski!D42+Mazowiecki!D42+Opolski!D42+Podkarpacki!D42+Podlaski!D42+Pomorski!D42+Śląski!D42+Świętokrzyski!D42+WarmińskoMazurski!D42+Wielkopolski!D42+Zachodniopomorski!D42</f>
        <v>507</v>
      </c>
      <c r="E42" s="100" t="str">
        <f t="shared" si="0"/>
        <v>-</v>
      </c>
      <c r="F42" s="101">
        <f t="shared" si="1"/>
        <v>1</v>
      </c>
    </row>
    <row r="43" spans="1:6" ht="28.5" customHeight="1">
      <c r="A43" s="41" t="s">
        <v>42</v>
      </c>
      <c r="B43" s="42" t="s">
        <v>35</v>
      </c>
      <c r="C43" s="75">
        <f>Dolnośląski!C43+KujawskoPomorski!C43+Lubelski!C43+Lubuski!C43+Łódzki!C43+Małopolski!C43+Mazowiecki!C43+Opolski!C43+Podkarpacki!C43+Podlaski!C43+Pomorski!C43+Śląski!C43+Świętokrzyski!C43+WarmińskoMazurski!C43+Wielkopolski!C43+Zachodniopomorski!C43</f>
        <v>108</v>
      </c>
      <c r="D43" s="75">
        <f>Dolnośląski!D43+KujawskoPomorski!D43+Lubelski!D43+Lubuski!D43+Łódzki!D43+Małopolski!D43+Mazowiecki!D43+Opolski!D43+Podkarpacki!D43+Podlaski!D43+Pomorski!D43+Śląski!D43+Świętokrzyski!D43+WarmińskoMazurski!D43+Wielkopolski!D43+Zachodniopomorski!D43</f>
        <v>108</v>
      </c>
      <c r="E43" s="100" t="str">
        <f t="shared" si="0"/>
        <v>-</v>
      </c>
      <c r="F43" s="101">
        <f t="shared" si="1"/>
        <v>1</v>
      </c>
    </row>
    <row r="44" spans="1:6" ht="28.5" customHeight="1">
      <c r="A44" s="41" t="s">
        <v>43</v>
      </c>
      <c r="B44" s="42" t="s">
        <v>36</v>
      </c>
      <c r="C44" s="75">
        <f>Dolnośląski!C44+KujawskoPomorski!C44+Lubelski!C44+Lubuski!C44+Łódzki!C44+Małopolski!C44+Mazowiecki!C44+Opolski!C44+Podkarpacki!C44+Podlaski!C44+Pomorski!C44+Śląski!C44+Świętokrzyski!C44+WarmińskoMazurski!C44+Wielkopolski!C44+Zachodniopomorski!C44</f>
        <v>18</v>
      </c>
      <c r="D44" s="75">
        <f>Dolnośląski!D44+KujawskoPomorski!D44+Lubelski!D44+Lubuski!D44+Łódzki!D44+Małopolski!D44+Mazowiecki!D44+Opolski!D44+Podkarpacki!D44+Podlaski!D44+Pomorski!D44+Śląski!D44+Świętokrzyski!D44+WarmińskoMazurski!D44+Wielkopolski!D44+Zachodniopomorski!D44</f>
        <v>18</v>
      </c>
      <c r="E44" s="100" t="str">
        <f t="shared" si="0"/>
        <v>-</v>
      </c>
      <c r="F44" s="101">
        <f t="shared" si="1"/>
        <v>1</v>
      </c>
    </row>
    <row r="45" spans="1:6" ht="28.5" customHeight="1">
      <c r="A45" s="41" t="s">
        <v>44</v>
      </c>
      <c r="B45" s="42" t="s">
        <v>37</v>
      </c>
      <c r="C45" s="75">
        <f>Dolnośląski!C45+KujawskoPomorski!C45+Lubelski!C45+Lubuski!C45+Łódzki!C45+Małopolski!C45+Mazowiecki!C45+Opolski!C45+Podkarpacki!C45+Podlaski!C45+Pomorski!C45+Śląski!C45+Świętokrzyski!C45+WarmińskoMazurski!C45+Wielkopolski!C45+Zachodniopomorski!C45</f>
        <v>0</v>
      </c>
      <c r="D45" s="75">
        <f>Dolnośląski!D45+KujawskoPomorski!D45+Lubelski!D45+Lubuski!D45+Łódzki!D45+Małopolski!D45+Mazowiecki!D45+Opolski!D45+Podkarpacki!D45+Podlaski!D45+Pomorski!D45+Śląski!D45+Świętokrzyski!D45+WarmińskoMazurski!D45+Wielkopolski!D45+Zachodniopomorski!D45</f>
        <v>0</v>
      </c>
      <c r="E45" s="100" t="str">
        <f t="shared" si="0"/>
        <v>-</v>
      </c>
      <c r="F45" s="101" t="str">
        <f t="shared" si="1"/>
        <v>-</v>
      </c>
    </row>
    <row r="46" spans="1:6" ht="28.5" customHeight="1">
      <c r="A46" s="41" t="s">
        <v>45</v>
      </c>
      <c r="B46" s="42" t="s">
        <v>38</v>
      </c>
      <c r="C46" s="75">
        <f>Dolnośląski!C46+KujawskoPomorski!C46+Lubelski!C46+Lubuski!C46+Łódzki!C46+Małopolski!C46+Mazowiecki!C46+Opolski!C46+Podkarpacki!C46+Podlaski!C46+Pomorski!C46+Śląski!C46+Świętokrzyski!C46+WarmińskoMazurski!C46+Wielkopolski!C46+Zachodniopomorski!C46</f>
        <v>3277</v>
      </c>
      <c r="D46" s="75">
        <f>Dolnośląski!D46+KujawskoPomorski!D46+Lubelski!D46+Lubuski!D46+Łódzki!D46+Małopolski!D46+Mazowiecki!D46+Opolski!D46+Podkarpacki!D46+Podlaski!D46+Pomorski!D46+Śląski!D46+Świętokrzyski!D46+WarmińskoMazurski!D46+Wielkopolski!D46+Zachodniopomorski!D46</f>
        <v>3277</v>
      </c>
      <c r="E46" s="100" t="str">
        <f t="shared" si="0"/>
        <v>-</v>
      </c>
      <c r="F46" s="101">
        <f t="shared" si="1"/>
        <v>1</v>
      </c>
    </row>
    <row r="47" spans="1:6" ht="28.5" customHeight="1">
      <c r="A47" s="41" t="s">
        <v>46</v>
      </c>
      <c r="B47" s="42" t="s">
        <v>39</v>
      </c>
      <c r="C47" s="75">
        <f>Dolnośląski!C47+KujawskoPomorski!C47+Lubelski!C47+Lubuski!C47+Łódzki!C47+Małopolski!C47+Mazowiecki!C47+Opolski!C47+Podkarpacki!C47+Podlaski!C47+Pomorski!C47+Śląski!C47+Świętokrzyski!C47+WarmińskoMazurski!C47+Wielkopolski!C47+Zachodniopomorski!C47</f>
        <v>287</v>
      </c>
      <c r="D47" s="75">
        <f>Dolnośląski!D47+KujawskoPomorski!D47+Lubelski!D47+Lubuski!D47+Łódzki!D47+Małopolski!D47+Mazowiecki!D47+Opolski!D47+Podkarpacki!D47+Podlaski!D47+Pomorski!D47+Śląski!D47+Świętokrzyski!D47+WarmińskoMazurski!D47+Wielkopolski!D47+Zachodniopomorski!D47</f>
        <v>287</v>
      </c>
      <c r="E47" s="100" t="str">
        <f t="shared" si="0"/>
        <v>-</v>
      </c>
      <c r="F47" s="101">
        <f t="shared" si="1"/>
        <v>1</v>
      </c>
    </row>
    <row r="48" spans="1:6" ht="28.5" customHeight="1">
      <c r="A48" s="30" t="s">
        <v>22</v>
      </c>
      <c r="B48" s="39" t="s">
        <v>186</v>
      </c>
      <c r="C48" s="75">
        <f>Dolnośląski!C48+KujawskoPomorski!C48+Lubelski!C48+Lubuski!C48+Łódzki!C48+Małopolski!C48+Mazowiecki!C48+Opolski!C48+Podkarpacki!C48+Podlaski!C48+Pomorski!C48+Śląski!C48+Świętokrzyski!C48+WarmińskoMazurski!C48+Wielkopolski!C48+Zachodniopomorski!C48</f>
        <v>274135</v>
      </c>
      <c r="D48" s="75">
        <f>Dolnośląski!D48+KujawskoPomorski!D48+Lubelski!D48+Lubuski!D48+Łódzki!D48+Małopolski!D48+Mazowiecki!D48+Opolski!D48+Podkarpacki!D48+Podlaski!D48+Pomorski!D48+Śląski!D48+Świętokrzyski!D48+WarmińskoMazurski!D48+Wielkopolski!D48+Zachodniopomorski!D48</f>
        <v>274135</v>
      </c>
      <c r="E48" s="100" t="str">
        <f t="shared" si="0"/>
        <v>-</v>
      </c>
      <c r="F48" s="101">
        <f t="shared" si="1"/>
        <v>1</v>
      </c>
    </row>
    <row r="49" spans="1:6" ht="28.5" customHeight="1">
      <c r="A49" s="41" t="s">
        <v>187</v>
      </c>
      <c r="B49" s="42" t="s">
        <v>188</v>
      </c>
      <c r="C49" s="75">
        <f>Dolnośląski!C49+KujawskoPomorski!C49+Lubelski!C49+Lubuski!C49+Łódzki!C49+Małopolski!C49+Mazowiecki!C49+Opolski!C49+Podkarpacki!C49+Podlaski!C49+Pomorski!C49+Śląski!C49+Świętokrzyski!C49+WarmińskoMazurski!C49+Wielkopolski!C49+Zachodniopomorski!C49</f>
        <v>1110</v>
      </c>
      <c r="D49" s="75">
        <f>Dolnośląski!D49+KujawskoPomorski!D49+Lubelski!D49+Lubuski!D49+Łódzki!D49+Małopolski!D49+Mazowiecki!D49+Opolski!D49+Podkarpacki!D49+Podlaski!D49+Pomorski!D49+Śląski!D49+Świętokrzyski!D49+WarmińskoMazurski!D49+Wielkopolski!D49+Zachodniopomorski!D49</f>
        <v>1110</v>
      </c>
      <c r="E49" s="100" t="str">
        <f t="shared" si="0"/>
        <v>-</v>
      </c>
      <c r="F49" s="101">
        <f t="shared" si="1"/>
        <v>1</v>
      </c>
    </row>
    <row r="50" spans="1:6" ht="28.5" customHeight="1">
      <c r="A50" s="30" t="s">
        <v>23</v>
      </c>
      <c r="B50" s="40" t="s">
        <v>55</v>
      </c>
      <c r="C50" s="75">
        <f>C51+C52+C53+C54</f>
        <v>60790</v>
      </c>
      <c r="D50" s="75">
        <f>D51+D52+D53+D54</f>
        <v>60790</v>
      </c>
      <c r="E50" s="100" t="str">
        <f t="shared" si="0"/>
        <v>-</v>
      </c>
      <c r="F50" s="101">
        <f t="shared" si="1"/>
        <v>1</v>
      </c>
    </row>
    <row r="51" spans="1:6" ht="28.5" customHeight="1">
      <c r="A51" s="41" t="s">
        <v>51</v>
      </c>
      <c r="B51" s="42" t="s">
        <v>47</v>
      </c>
      <c r="C51" s="75">
        <f>Dolnośląski!C51+KujawskoPomorski!C51+Lubelski!C51+Lubuski!C51+Łódzki!C51+Małopolski!C51+Mazowiecki!C51+Opolski!C51+Podkarpacki!C51+Podlaski!C51+Pomorski!C51+Śląski!C51+Świętokrzyski!C51+WarmińskoMazurski!C51+Wielkopolski!C51+Zachodniopomorski!C51</f>
        <v>47023</v>
      </c>
      <c r="D51" s="75">
        <f>Dolnośląski!D51+KujawskoPomorski!D51+Lubelski!D51+Lubuski!D51+Łódzki!D51+Małopolski!D51+Mazowiecki!D51+Opolski!D51+Podkarpacki!D51+Podlaski!D51+Pomorski!D51+Śląski!D51+Świętokrzyski!D51+WarmińskoMazurski!D51+Wielkopolski!D51+Zachodniopomorski!D51</f>
        <v>47023</v>
      </c>
      <c r="E51" s="100" t="str">
        <f t="shared" si="0"/>
        <v>-</v>
      </c>
      <c r="F51" s="101">
        <f t="shared" si="1"/>
        <v>1</v>
      </c>
    </row>
    <row r="52" spans="1:6" ht="28.5" customHeight="1">
      <c r="A52" s="41" t="s">
        <v>52</v>
      </c>
      <c r="B52" s="42" t="s">
        <v>48</v>
      </c>
      <c r="C52" s="75">
        <f>Dolnośląski!C52+KujawskoPomorski!C52+Lubelski!C52+Lubuski!C52+Łódzki!C52+Małopolski!C52+Mazowiecki!C52+Opolski!C52+Podkarpacki!C52+Podlaski!C52+Pomorski!C52+Śląski!C52+Świętokrzyski!C52+WarmińskoMazurski!C52+Wielkopolski!C52+Zachodniopomorski!C52</f>
        <v>6717</v>
      </c>
      <c r="D52" s="75">
        <f>Dolnośląski!D52+KujawskoPomorski!D52+Lubelski!D52+Lubuski!D52+Łódzki!D52+Małopolski!D52+Mazowiecki!D52+Opolski!D52+Podkarpacki!D52+Podlaski!D52+Pomorski!D52+Śląski!D52+Świętokrzyski!D52+WarmińskoMazurski!D52+Wielkopolski!D52+Zachodniopomorski!D52</f>
        <v>6717</v>
      </c>
      <c r="E52" s="100" t="str">
        <f t="shared" si="0"/>
        <v>-</v>
      </c>
      <c r="F52" s="101">
        <f t="shared" si="1"/>
        <v>1</v>
      </c>
    </row>
    <row r="53" spans="1:6" ht="28.5" customHeight="1">
      <c r="A53" s="41" t="s">
        <v>53</v>
      </c>
      <c r="B53" s="42" t="s">
        <v>49</v>
      </c>
      <c r="C53" s="75">
        <f>Dolnośląski!C53+KujawskoPomorski!C53+Lubelski!C53+Lubuski!C53+Łódzki!C53+Małopolski!C53+Mazowiecki!C53+Opolski!C53+Podkarpacki!C53+Podlaski!C53+Pomorski!C53+Śląski!C53+Świętokrzyski!C53+WarmińskoMazurski!C53+Wielkopolski!C53+Zachodniopomorski!C53</f>
        <v>0</v>
      </c>
      <c r="D53" s="75">
        <f>Dolnośląski!D53+KujawskoPomorski!D53+Lubelski!D53+Lubuski!D53+Łódzki!D53+Małopolski!D53+Mazowiecki!D53+Opolski!D53+Podkarpacki!D53+Podlaski!D53+Pomorski!D53+Śląski!D53+Świętokrzyski!D53+WarmińskoMazurski!D53+Wielkopolski!D53+Zachodniopomorski!D53</f>
        <v>0</v>
      </c>
      <c r="E53" s="100" t="str">
        <f t="shared" si="0"/>
        <v>-</v>
      </c>
      <c r="F53" s="101" t="str">
        <f t="shared" si="1"/>
        <v>-</v>
      </c>
    </row>
    <row r="54" spans="1:6" ht="28.5" customHeight="1">
      <c r="A54" s="41" t="s">
        <v>54</v>
      </c>
      <c r="B54" s="42" t="s">
        <v>50</v>
      </c>
      <c r="C54" s="75">
        <f>Dolnośląski!C54+KujawskoPomorski!C54+Lubelski!C54+Lubuski!C54+Łódzki!C54+Małopolski!C54+Mazowiecki!C54+Opolski!C54+Podkarpacki!C54+Podlaski!C54+Pomorski!C54+Śląski!C54+Świętokrzyski!C54+WarmińskoMazurski!C54+Wielkopolski!C54+Zachodniopomorski!C54</f>
        <v>7050</v>
      </c>
      <c r="D54" s="75">
        <f>Dolnośląski!D54+KujawskoPomorski!D54+Lubelski!D54+Lubuski!D54+Łódzki!D54+Małopolski!D54+Mazowiecki!D54+Opolski!D54+Podkarpacki!D54+Podlaski!D54+Pomorski!D54+Śląski!D54+Świętokrzyski!D54+WarmińskoMazurski!D54+Wielkopolski!D54+Zachodniopomorski!D54</f>
        <v>7050</v>
      </c>
      <c r="E54" s="100" t="str">
        <f t="shared" si="0"/>
        <v>-</v>
      </c>
      <c r="F54" s="101">
        <f t="shared" si="1"/>
        <v>1</v>
      </c>
    </row>
    <row r="55" spans="1:6" ht="28.5" customHeight="1">
      <c r="A55" s="30" t="s">
        <v>24</v>
      </c>
      <c r="B55" s="39" t="s">
        <v>25</v>
      </c>
      <c r="C55" s="75">
        <f>Dolnośląski!C55+KujawskoPomorski!C55+Lubelski!C55+Lubuski!C55+Łódzki!C55+Małopolski!C55+Mazowiecki!C55+Opolski!C55+Podkarpacki!C55+Podlaski!C55+Pomorski!C55+Śląski!C55+Świętokrzyski!C55+WarmińskoMazurski!C55+Wielkopolski!C55+Zachodniopomorski!C55</f>
        <v>0</v>
      </c>
      <c r="D55" s="75">
        <f>Dolnośląski!D55+KujawskoPomorski!D55+Lubelski!D55+Lubuski!D55+Łódzki!D55+Małopolski!D55+Mazowiecki!D55+Opolski!D55+Podkarpacki!D55+Podlaski!D55+Pomorski!D55+Śląski!D55+Świętokrzyski!D55+WarmińskoMazurski!D55+Wielkopolski!D55+Zachodniopomorski!D55</f>
        <v>0</v>
      </c>
      <c r="E55" s="100" t="str">
        <f t="shared" si="0"/>
        <v>-</v>
      </c>
      <c r="F55" s="101" t="str">
        <f t="shared" si="1"/>
        <v>-</v>
      </c>
    </row>
    <row r="56" spans="1:6" ht="28.5" customHeight="1">
      <c r="A56" s="30" t="s">
        <v>26</v>
      </c>
      <c r="B56" s="39" t="s">
        <v>189</v>
      </c>
      <c r="C56" s="79">
        <f>Dolnośląski!C56+KujawskoPomorski!C56+Lubelski!C56+Lubuski!C56+Łódzki!C56+Małopolski!C56+Mazowiecki!C56+Opolski!C56+Podkarpacki!C56+Podlaski!C56+Pomorski!C56+Śląski!C56+Świętokrzyski!C56+WarmińskoMazurski!C56+Wielkopolski!C56+Zachodniopomorski!C56</f>
        <v>46998</v>
      </c>
      <c r="D56" s="79">
        <f>Dolnośląski!D56+KujawskoPomorski!D56+Lubelski!D56+Lubuski!D56+Łódzki!D56+Małopolski!D56+Mazowiecki!D56+Opolski!D56+Podkarpacki!D56+Podlaski!D56+Pomorski!D56+Śląski!D56+Świętokrzyski!D56+WarmińskoMazurski!D56+Wielkopolski!D56+Zachodniopomorski!D56</f>
        <v>46998</v>
      </c>
      <c r="E56" s="100" t="str">
        <f t="shared" si="0"/>
        <v>-</v>
      </c>
      <c r="F56" s="104">
        <f t="shared" si="1"/>
        <v>1</v>
      </c>
    </row>
    <row r="57" spans="1:6" ht="28.5" customHeight="1">
      <c r="A57" s="30" t="s">
        <v>27</v>
      </c>
      <c r="B57" s="39" t="s">
        <v>28</v>
      </c>
      <c r="C57" s="75">
        <f>Dolnośląski!C57+KujawskoPomorski!C57+Lubelski!C57+Lubuski!C57+Łódzki!C57+Małopolski!C57+Mazowiecki!C57+Opolski!C57+Podkarpacki!C57+Podlaski!C57+Pomorski!C57+Śląski!C57+Świętokrzyski!C57+WarmińskoMazurski!C57+Wielkopolski!C57+Zachodniopomorski!C57</f>
        <v>4583</v>
      </c>
      <c r="D57" s="75">
        <f>Dolnośląski!D57+KujawskoPomorski!D57+Lubelski!D57+Lubuski!D57+Łódzki!D57+Małopolski!D57+Mazowiecki!D57+Opolski!D57+Podkarpacki!D57+Podlaski!D57+Pomorski!D57+Śląski!D57+Świętokrzyski!D57+WarmińskoMazurski!D57+Wielkopolski!D57+Zachodniopomorski!D57</f>
        <v>4583</v>
      </c>
      <c r="E57" s="100" t="str">
        <f t="shared" si="0"/>
        <v>-</v>
      </c>
      <c r="F57" s="101">
        <f t="shared" si="1"/>
        <v>1</v>
      </c>
    </row>
    <row r="58" spans="1:6" s="2" customFormat="1" ht="30" customHeight="1">
      <c r="A58" s="32" t="s">
        <v>29</v>
      </c>
      <c r="B58" s="44" t="s">
        <v>190</v>
      </c>
      <c r="C58" s="81">
        <f>C59+C60+C61+C62</f>
        <v>341660</v>
      </c>
      <c r="D58" s="81">
        <f>D59+D60+D61+D62</f>
        <v>341660</v>
      </c>
      <c r="E58" s="12" t="str">
        <f t="shared" si="0"/>
        <v>-</v>
      </c>
      <c r="F58" s="105">
        <f t="shared" si="1"/>
        <v>1</v>
      </c>
    </row>
    <row r="59" spans="1:6" ht="42" customHeight="1">
      <c r="A59" s="30" t="s">
        <v>104</v>
      </c>
      <c r="B59" s="39" t="s">
        <v>126</v>
      </c>
      <c r="C59" s="75">
        <f>Dolnośląski!C59+KujawskoPomorski!C59+Lubelski!C59+Lubuski!C59+Łódzki!C59+Małopolski!C59+Mazowiecki!C59+Opolski!C59+Podkarpacki!C59+Podlaski!C59+Pomorski!C59+Śląski!C59+Świętokrzyski!C59+WarmińskoMazurski!C59+Wielkopolski!C59+Zachodniopomorski!C59</f>
        <v>873</v>
      </c>
      <c r="D59" s="75">
        <f>Dolnośląski!D59+KujawskoPomorski!D59+Lubelski!D59+Lubuski!D59+Łódzki!D59+Małopolski!D59+Mazowiecki!D59+Opolski!D59+Podkarpacki!D59+Podlaski!D59+Pomorski!D59+Śląski!D59+Świętokrzyski!D59+WarmińskoMazurski!D59+Wielkopolski!D59+Zachodniopomorski!D59</f>
        <v>873</v>
      </c>
      <c r="E59" s="75" t="str">
        <f t="shared" si="0"/>
        <v>-</v>
      </c>
      <c r="F59" s="101">
        <f t="shared" si="1"/>
        <v>1</v>
      </c>
    </row>
    <row r="60" spans="1:6" ht="31.5" customHeight="1">
      <c r="A60" s="30" t="s">
        <v>30</v>
      </c>
      <c r="B60" s="39" t="s">
        <v>57</v>
      </c>
      <c r="C60" s="75">
        <f>Dolnośląski!C60+KujawskoPomorski!C60+Lubelski!C60+Lubuski!C60+Łódzki!C60+Małopolski!C60+Mazowiecki!C60+Opolski!C60+Podkarpacki!C60+Podlaski!C60+Pomorski!C60+Śląski!C60+Świętokrzyski!C60+WarmińskoMazurski!C60+Wielkopolski!C60+Zachodniopomorski!C60</f>
        <v>319554</v>
      </c>
      <c r="D60" s="75">
        <f>Dolnośląski!D60+KujawskoPomorski!D60+Lubelski!D60+Lubuski!D60+Łódzki!D60+Małopolski!D60+Mazowiecki!D60+Opolski!D60+Podkarpacki!D60+Podlaski!D60+Pomorski!D60+Śląski!D60+Świętokrzyski!D60+WarmińskoMazurski!D60+Wielkopolski!D60+Zachodniopomorski!D60</f>
        <v>319554</v>
      </c>
      <c r="E60" s="75" t="str">
        <f t="shared" si="0"/>
        <v>-</v>
      </c>
      <c r="F60" s="101">
        <f t="shared" si="1"/>
        <v>1</v>
      </c>
    </row>
    <row r="61" spans="1:6" ht="31.5" customHeight="1">
      <c r="A61" s="30" t="s">
        <v>31</v>
      </c>
      <c r="B61" s="39" t="s">
        <v>106</v>
      </c>
      <c r="C61" s="75">
        <f>Dolnośląski!C61+KujawskoPomorski!C61+Lubelski!C61+Lubuski!C61+Łódzki!C61+Małopolski!C61+Mazowiecki!C61+Opolski!C61+Podkarpacki!C61+Podlaski!C61+Pomorski!C61+Śląski!C61+Świętokrzyski!C61+WarmińskoMazurski!C61+Wielkopolski!C61+Zachodniopomorski!C61</f>
        <v>0</v>
      </c>
      <c r="D61" s="75">
        <f>Dolnośląski!D61+KujawskoPomorski!D61+Lubelski!D61+Lubuski!D61+Łódzki!D61+Małopolski!D61+Mazowiecki!D61+Opolski!D61+Podkarpacki!D61+Podlaski!D61+Pomorski!D61+Śląski!D61+Świętokrzyski!D61+WarmińskoMazurski!D61+Wielkopolski!D61+Zachodniopomorski!D61</f>
        <v>0</v>
      </c>
      <c r="E61" s="75" t="str">
        <f t="shared" si="0"/>
        <v>-</v>
      </c>
      <c r="F61" s="101" t="str">
        <f t="shared" si="1"/>
        <v>-</v>
      </c>
    </row>
    <row r="62" spans="1:6" ht="31.5" customHeight="1">
      <c r="A62" s="30" t="s">
        <v>105</v>
      </c>
      <c r="B62" s="39" t="s">
        <v>107</v>
      </c>
      <c r="C62" s="75">
        <f>Dolnośląski!C62+KujawskoPomorski!C62+Lubelski!C62+Lubuski!C62+Łódzki!C62+Małopolski!C62+Mazowiecki!C62+Opolski!C62+Podkarpacki!C62+Podlaski!C62+Pomorski!C62+Śląski!C62+Świętokrzyski!C62+WarmińskoMazurski!C62+Wielkopolski!C62+Zachodniopomorski!C62</f>
        <v>21233</v>
      </c>
      <c r="D62" s="75">
        <f>Dolnośląski!D62+KujawskoPomorski!D62+Lubelski!D62+Lubuski!D62+Łódzki!D62+Małopolski!D62+Mazowiecki!D62+Opolski!D62+Podkarpacki!D62+Podlaski!D62+Pomorski!D62+Śląski!D62+Świętokrzyski!D62+WarmińskoMazurski!D62+Wielkopolski!D62+Zachodniopomorski!D62</f>
        <v>21233</v>
      </c>
      <c r="E62" s="75" t="str">
        <f t="shared" si="0"/>
        <v>-</v>
      </c>
      <c r="F62" s="101">
        <f t="shared" si="1"/>
        <v>1</v>
      </c>
    </row>
    <row r="63" spans="1:6" ht="32.25" customHeight="1">
      <c r="A63" s="32" t="s">
        <v>112</v>
      </c>
      <c r="B63" s="44" t="s">
        <v>133</v>
      </c>
      <c r="C63" s="81">
        <f>Dolnośląski!C63+KujawskoPomorski!C63+Lubelski!C63+Lubuski!C63+Łódzki!C63+Małopolski!C63+Mazowiecki!C63+Opolski!C63+Podkarpacki!C63+Podlaski!C63+Pomorski!C63+Śląski!C63+Świętokrzyski!C63+WarmińskoMazurski!C63+Wielkopolski!C63+Zachodniopomorski!C63</f>
        <v>85709</v>
      </c>
      <c r="D63" s="81">
        <f>Dolnośląski!D63+KujawskoPomorski!D63+Lubelski!D63+Lubuski!D63+Łódzki!D63+Małopolski!D63+Mazowiecki!D63+Opolski!D63+Podkarpacki!D63+Podlaski!D63+Pomorski!D63+Śląski!D63+Świętokrzyski!D63+WarmińskoMazurski!D63+Wielkopolski!D63+Zachodniopomorski!D63</f>
        <v>85709</v>
      </c>
      <c r="E63" s="12" t="str">
        <f t="shared" si="0"/>
        <v>-</v>
      </c>
      <c r="F63" s="105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  <ignoredErrors>
    <ignoredError sqref="C56 C10:C11 C8:C9 C12:C3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63"/>
  <sheetViews>
    <sheetView showGridLines="0" view="pageBreakPreview" zoomScale="55" zoomScaleNormal="70" zoomScaleSheetLayoutView="55" zoomScalePageLayoutView="0" workbookViewId="0" topLeftCell="A1">
      <pane ySplit="7" topLeftCell="A8" activePane="bottomLeft" state="frozen"/>
      <selection pane="topLeft" activeCell="A2" sqref="A2:B2"/>
      <selection pane="bottomLeft" activeCell="A2" sqref="A2:B2"/>
    </sheetView>
  </sheetViews>
  <sheetFormatPr defaultColWidth="9.00390625" defaultRowHeight="12.75"/>
  <cols>
    <col min="1" max="1" width="9.125" style="1" customWidth="1"/>
    <col min="2" max="2" width="125.875" style="1" customWidth="1"/>
    <col min="3" max="3" width="25.75390625" style="1" customWidth="1"/>
    <col min="4" max="4" width="26.875" style="1" customWidth="1"/>
    <col min="5" max="6" width="20.75390625" style="1" customWidth="1"/>
    <col min="7" max="7" width="13.25390625" style="1" customWidth="1"/>
    <col min="8" max="16384" width="9.125" style="1" customWidth="1"/>
  </cols>
  <sheetData>
    <row r="1" spans="1:6" s="47" customFormat="1" ht="54.75" customHeight="1">
      <c r="A1" s="119" t="str">
        <f>NFZ!A1</f>
        <v>URUCHOMIENIE REZERWY NA KOSZTY ŚWIADCZEŃ OPIEKI ZDROWOTNEJ W RAMACH MIGRACJI UBEZPIECZONYCH Z DNIA 30 SIERPNIA 2012 R. W PLANIE FINANSOWYM NARODOWEGO FUNDUSZU ZDROWIA NA 2013 ROK</v>
      </c>
      <c r="B1" s="119"/>
      <c r="C1" s="119"/>
      <c r="D1" s="119"/>
      <c r="E1" s="119"/>
      <c r="F1" s="119"/>
    </row>
    <row r="2" spans="1:3" s="49" customFormat="1" ht="33" customHeight="1">
      <c r="A2" s="87" t="s">
        <v>63</v>
      </c>
      <c r="B2" s="87"/>
      <c r="C2" s="96"/>
    </row>
    <row r="3" spans="1:6" ht="33" customHeight="1">
      <c r="A3" s="7"/>
      <c r="B3" s="8"/>
      <c r="C3" s="86"/>
      <c r="D3" s="86"/>
      <c r="E3" s="86" t="s">
        <v>166</v>
      </c>
      <c r="F3" s="9"/>
    </row>
    <row r="4" spans="1:6" s="5" customFormat="1" ht="45" customHeight="1">
      <c r="A4" s="114" t="s">
        <v>137</v>
      </c>
      <c r="B4" s="114" t="s">
        <v>56</v>
      </c>
      <c r="C4" s="115" t="s">
        <v>206</v>
      </c>
      <c r="D4" s="115" t="s">
        <v>203</v>
      </c>
      <c r="E4" s="118" t="s">
        <v>204</v>
      </c>
      <c r="F4" s="118" t="s">
        <v>205</v>
      </c>
    </row>
    <row r="5" spans="1:6" s="5" customFormat="1" ht="45" customHeight="1">
      <c r="A5" s="114"/>
      <c r="B5" s="114"/>
      <c r="C5" s="116"/>
      <c r="D5" s="116"/>
      <c r="E5" s="118"/>
      <c r="F5" s="118"/>
    </row>
    <row r="6" spans="1:6" s="3" customFormat="1" ht="14.25">
      <c r="A6" s="46">
        <v>1</v>
      </c>
      <c r="B6" s="51">
        <v>2</v>
      </c>
      <c r="C6" s="46">
        <v>3</v>
      </c>
      <c r="D6" s="51">
        <v>4</v>
      </c>
      <c r="E6" s="46">
        <v>5</v>
      </c>
      <c r="F6" s="51">
        <v>6</v>
      </c>
    </row>
    <row r="7" spans="1:6" s="2" customFormat="1" ht="30" customHeight="1">
      <c r="A7" s="22" t="s">
        <v>0</v>
      </c>
      <c r="B7" s="38" t="s">
        <v>174</v>
      </c>
      <c r="C7" s="97">
        <f>C8+C9+C10+C15+C16+C17+C18+C19+C20+C21+C22+C23+C24+C25+C29+C30+C32+C33</f>
        <v>4764948</v>
      </c>
      <c r="D7" s="15">
        <f>D8+D9+D10+D15+D16+D17+D18+D19+D20+D21+D22+D23+D24+D25+D29+D30+D32+D33</f>
        <v>4764948</v>
      </c>
      <c r="E7" s="12" t="str">
        <f>IF(C7=D7,"-",D7-C7)</f>
        <v>-</v>
      </c>
      <c r="F7" s="99">
        <f>IF(C7=0,"-",D7/C7)</f>
        <v>1</v>
      </c>
    </row>
    <row r="8" spans="1:8" ht="33" customHeight="1">
      <c r="A8" s="28" t="s">
        <v>1</v>
      </c>
      <c r="B8" s="76" t="s">
        <v>138</v>
      </c>
      <c r="C8" s="79">
        <v>573015</v>
      </c>
      <c r="D8" s="24">
        <f>C8</f>
        <v>573015</v>
      </c>
      <c r="E8" s="100" t="str">
        <f aca="true" t="shared" si="0" ref="E8:E63">IF(C8=D8,"-",D8-C8)</f>
        <v>-</v>
      </c>
      <c r="F8" s="101">
        <f aca="true" t="shared" si="1" ref="F8:F63">IF(C8=0,"-",D8/C8)</f>
        <v>1</v>
      </c>
      <c r="G8" s="1">
        <v>573015</v>
      </c>
      <c r="H8" s="85">
        <f>D8-G8</f>
        <v>0</v>
      </c>
    </row>
    <row r="9" spans="1:8" ht="33" customHeight="1">
      <c r="A9" s="28" t="s">
        <v>2</v>
      </c>
      <c r="B9" s="76" t="s">
        <v>139</v>
      </c>
      <c r="C9" s="79">
        <v>392348</v>
      </c>
      <c r="D9" s="24">
        <f>C9+12416</f>
        <v>404764</v>
      </c>
      <c r="E9" s="100">
        <f t="shared" si="0"/>
        <v>12416</v>
      </c>
      <c r="F9" s="101">
        <f t="shared" si="1"/>
        <v>1.0316</v>
      </c>
      <c r="G9" s="1">
        <v>404764</v>
      </c>
      <c r="H9" s="85">
        <f aca="true" t="shared" si="2" ref="H9:H36">D9-G9</f>
        <v>0</v>
      </c>
    </row>
    <row r="10" spans="1:8" ht="33" customHeight="1">
      <c r="A10" s="28" t="s">
        <v>3</v>
      </c>
      <c r="B10" s="76" t="s">
        <v>136</v>
      </c>
      <c r="C10" s="79">
        <v>2094483</v>
      </c>
      <c r="D10" s="24">
        <f>C10+144577+890+6641+2983+2824</f>
        <v>2252398</v>
      </c>
      <c r="E10" s="100">
        <f t="shared" si="0"/>
        <v>157915</v>
      </c>
      <c r="F10" s="101">
        <f t="shared" si="1"/>
        <v>1.0754</v>
      </c>
      <c r="G10" s="1">
        <v>2252398</v>
      </c>
      <c r="H10" s="85">
        <f t="shared" si="2"/>
        <v>0</v>
      </c>
    </row>
    <row r="11" spans="1:8" ht="31.5" customHeight="1">
      <c r="A11" s="77" t="s">
        <v>58</v>
      </c>
      <c r="B11" s="88" t="s">
        <v>167</v>
      </c>
      <c r="C11" s="79">
        <v>151023</v>
      </c>
      <c r="D11" s="24">
        <f>C11+890+6641</f>
        <v>158554</v>
      </c>
      <c r="E11" s="100">
        <f t="shared" si="0"/>
        <v>7531</v>
      </c>
      <c r="F11" s="101">
        <f t="shared" si="1"/>
        <v>1.0499</v>
      </c>
      <c r="G11" s="1">
        <v>158554</v>
      </c>
      <c r="H11" s="85">
        <f t="shared" si="2"/>
        <v>0</v>
      </c>
    </row>
    <row r="12" spans="1:8" ht="31.5" customHeight="1">
      <c r="A12" s="77" t="s">
        <v>168</v>
      </c>
      <c r="B12" s="88" t="s">
        <v>171</v>
      </c>
      <c r="C12" s="79">
        <v>142964</v>
      </c>
      <c r="D12" s="24">
        <f>C12+6641</f>
        <v>149605</v>
      </c>
      <c r="E12" s="100">
        <f t="shared" si="0"/>
        <v>6641</v>
      </c>
      <c r="F12" s="101">
        <f t="shared" si="1"/>
        <v>1.0465</v>
      </c>
      <c r="G12" s="1">
        <v>149605</v>
      </c>
      <c r="H12" s="85">
        <f t="shared" si="2"/>
        <v>0</v>
      </c>
    </row>
    <row r="13" spans="1:8" ht="31.5" customHeight="1">
      <c r="A13" s="77" t="s">
        <v>169</v>
      </c>
      <c r="B13" s="88" t="s">
        <v>172</v>
      </c>
      <c r="C13" s="79">
        <v>114809</v>
      </c>
      <c r="D13" s="24">
        <f>C13+2983+2824</f>
        <v>120616</v>
      </c>
      <c r="E13" s="100">
        <f t="shared" si="0"/>
        <v>5807</v>
      </c>
      <c r="F13" s="101">
        <f t="shared" si="1"/>
        <v>1.0506</v>
      </c>
      <c r="G13" s="1">
        <v>120616</v>
      </c>
      <c r="H13" s="85">
        <f t="shared" si="2"/>
        <v>0</v>
      </c>
    </row>
    <row r="14" spans="1:8" ht="31.5" customHeight="1">
      <c r="A14" s="77" t="s">
        <v>170</v>
      </c>
      <c r="B14" s="88" t="s">
        <v>173</v>
      </c>
      <c r="C14" s="79">
        <v>53901</v>
      </c>
      <c r="D14" s="24">
        <f>C14+2824</f>
        <v>56725</v>
      </c>
      <c r="E14" s="100">
        <f t="shared" si="0"/>
        <v>2824</v>
      </c>
      <c r="F14" s="101">
        <f t="shared" si="1"/>
        <v>1.0524</v>
      </c>
      <c r="G14" s="1">
        <v>56725</v>
      </c>
      <c r="H14" s="85">
        <f t="shared" si="2"/>
        <v>0</v>
      </c>
    </row>
    <row r="15" spans="1:8" ht="33" customHeight="1">
      <c r="A15" s="28" t="s">
        <v>4</v>
      </c>
      <c r="B15" s="76" t="s">
        <v>144</v>
      </c>
      <c r="C15" s="79">
        <v>153137</v>
      </c>
      <c r="D15" s="24">
        <f>C15+21487</f>
        <v>174624</v>
      </c>
      <c r="E15" s="100">
        <f t="shared" si="0"/>
        <v>21487</v>
      </c>
      <c r="F15" s="101">
        <f t="shared" si="1"/>
        <v>1.1403</v>
      </c>
      <c r="G15" s="1">
        <v>174624</v>
      </c>
      <c r="H15" s="85">
        <f t="shared" si="2"/>
        <v>0</v>
      </c>
    </row>
    <row r="16" spans="1:8" ht="33" customHeight="1">
      <c r="A16" s="28" t="s">
        <v>5</v>
      </c>
      <c r="B16" s="76" t="s">
        <v>140</v>
      </c>
      <c r="C16" s="79">
        <v>141642</v>
      </c>
      <c r="D16" s="24">
        <f>C16+16294</f>
        <v>157936</v>
      </c>
      <c r="E16" s="100">
        <f t="shared" si="0"/>
        <v>16294</v>
      </c>
      <c r="F16" s="101">
        <f t="shared" si="1"/>
        <v>1.115</v>
      </c>
      <c r="G16" s="1">
        <v>157936</v>
      </c>
      <c r="H16" s="85">
        <f t="shared" si="2"/>
        <v>0</v>
      </c>
    </row>
    <row r="17" spans="1:8" ht="33" customHeight="1">
      <c r="A17" s="28" t="s">
        <v>6</v>
      </c>
      <c r="B17" s="76" t="s">
        <v>146</v>
      </c>
      <c r="C17" s="79">
        <v>86930</v>
      </c>
      <c r="D17" s="24">
        <f>C17+4070</f>
        <v>91000</v>
      </c>
      <c r="E17" s="100">
        <f t="shared" si="0"/>
        <v>4070</v>
      </c>
      <c r="F17" s="101">
        <f t="shared" si="1"/>
        <v>1.0468</v>
      </c>
      <c r="G17" s="1">
        <v>91000</v>
      </c>
      <c r="H17" s="85">
        <f t="shared" si="2"/>
        <v>0</v>
      </c>
    </row>
    <row r="18" spans="1:8" ht="33" customHeight="1">
      <c r="A18" s="28" t="s">
        <v>7</v>
      </c>
      <c r="B18" s="76" t="s">
        <v>145</v>
      </c>
      <c r="C18" s="79">
        <v>25513</v>
      </c>
      <c r="D18" s="24">
        <f>C18+1593</f>
        <v>27106</v>
      </c>
      <c r="E18" s="100">
        <f t="shared" si="0"/>
        <v>1593</v>
      </c>
      <c r="F18" s="101">
        <f t="shared" si="1"/>
        <v>1.0624</v>
      </c>
      <c r="G18" s="1">
        <v>27106</v>
      </c>
      <c r="H18" s="85">
        <f t="shared" si="2"/>
        <v>0</v>
      </c>
    </row>
    <row r="19" spans="1:8" ht="33" customHeight="1">
      <c r="A19" s="28" t="s">
        <v>8</v>
      </c>
      <c r="B19" s="76" t="s">
        <v>141</v>
      </c>
      <c r="C19" s="79">
        <v>119282</v>
      </c>
      <c r="D19" s="24">
        <f>C19+2524</f>
        <v>121806</v>
      </c>
      <c r="E19" s="100">
        <f t="shared" si="0"/>
        <v>2524</v>
      </c>
      <c r="F19" s="101">
        <f t="shared" si="1"/>
        <v>1.0212</v>
      </c>
      <c r="G19" s="1">
        <v>121806</v>
      </c>
      <c r="H19" s="85">
        <f t="shared" si="2"/>
        <v>0</v>
      </c>
    </row>
    <row r="20" spans="1:8" ht="33" customHeight="1">
      <c r="A20" s="28" t="s">
        <v>9</v>
      </c>
      <c r="B20" s="76" t="s">
        <v>142</v>
      </c>
      <c r="C20" s="79">
        <v>60632</v>
      </c>
      <c r="D20" s="24">
        <f>C20</f>
        <v>60632</v>
      </c>
      <c r="E20" s="100" t="str">
        <f t="shared" si="0"/>
        <v>-</v>
      </c>
      <c r="F20" s="101">
        <f t="shared" si="1"/>
        <v>1</v>
      </c>
      <c r="G20" s="1">
        <v>60632</v>
      </c>
      <c r="H20" s="85">
        <f t="shared" si="2"/>
        <v>0</v>
      </c>
    </row>
    <row r="21" spans="1:8" ht="33" customHeight="1">
      <c r="A21" s="28" t="s">
        <v>10</v>
      </c>
      <c r="B21" s="76" t="s">
        <v>147</v>
      </c>
      <c r="C21" s="79">
        <v>4401</v>
      </c>
      <c r="D21" s="24">
        <f>C21</f>
        <v>4401</v>
      </c>
      <c r="E21" s="100" t="str">
        <f t="shared" si="0"/>
        <v>-</v>
      </c>
      <c r="F21" s="101">
        <f t="shared" si="1"/>
        <v>1</v>
      </c>
      <c r="G21" s="1">
        <v>4401</v>
      </c>
      <c r="H21" s="85">
        <f t="shared" si="2"/>
        <v>0</v>
      </c>
    </row>
    <row r="22" spans="1:8" ht="46.5" customHeight="1">
      <c r="A22" s="28" t="s">
        <v>11</v>
      </c>
      <c r="B22" s="76" t="s">
        <v>143</v>
      </c>
      <c r="C22" s="79">
        <v>17812</v>
      </c>
      <c r="D22" s="24">
        <f>C22+303</f>
        <v>18115</v>
      </c>
      <c r="E22" s="100">
        <f t="shared" si="0"/>
        <v>303</v>
      </c>
      <c r="F22" s="101">
        <f t="shared" si="1"/>
        <v>1.017</v>
      </c>
      <c r="G22" s="1">
        <v>18115</v>
      </c>
      <c r="H22" s="85">
        <f t="shared" si="2"/>
        <v>0</v>
      </c>
    </row>
    <row r="23" spans="1:8" ht="33" customHeight="1">
      <c r="A23" s="28" t="s">
        <v>12</v>
      </c>
      <c r="B23" s="76" t="s">
        <v>197</v>
      </c>
      <c r="C23" s="79">
        <v>115395</v>
      </c>
      <c r="D23" s="24">
        <f>C23+7077</f>
        <v>122472</v>
      </c>
      <c r="E23" s="100">
        <f t="shared" si="0"/>
        <v>7077</v>
      </c>
      <c r="F23" s="101">
        <f t="shared" si="1"/>
        <v>1.0613</v>
      </c>
      <c r="G23" s="1">
        <v>122472</v>
      </c>
      <c r="H23" s="85">
        <f t="shared" si="2"/>
        <v>0</v>
      </c>
    </row>
    <row r="24" spans="1:8" ht="33" customHeight="1">
      <c r="A24" s="28" t="s">
        <v>13</v>
      </c>
      <c r="B24" s="76" t="s">
        <v>175</v>
      </c>
      <c r="C24" s="79">
        <v>71300</v>
      </c>
      <c r="D24" s="24">
        <f aca="true" t="shared" si="3" ref="D24:D31">C24</f>
        <v>71300</v>
      </c>
      <c r="E24" s="100" t="str">
        <f t="shared" si="0"/>
        <v>-</v>
      </c>
      <c r="F24" s="101">
        <f t="shared" si="1"/>
        <v>1</v>
      </c>
      <c r="G24" s="1">
        <v>71300</v>
      </c>
      <c r="H24" s="85">
        <f t="shared" si="2"/>
        <v>0</v>
      </c>
    </row>
    <row r="25" spans="1:8" ht="33" customHeight="1">
      <c r="A25" s="29" t="s">
        <v>14</v>
      </c>
      <c r="B25" s="76" t="s">
        <v>176</v>
      </c>
      <c r="C25" s="79">
        <v>633982</v>
      </c>
      <c r="D25" s="24">
        <f t="shared" si="3"/>
        <v>633982</v>
      </c>
      <c r="E25" s="100" t="str">
        <f t="shared" si="0"/>
        <v>-</v>
      </c>
      <c r="F25" s="101">
        <f t="shared" si="1"/>
        <v>1</v>
      </c>
      <c r="G25" s="1">
        <v>633982</v>
      </c>
      <c r="H25" s="85">
        <f t="shared" si="2"/>
        <v>0</v>
      </c>
    </row>
    <row r="26" spans="1:8" ht="31.5">
      <c r="A26" s="27" t="s">
        <v>148</v>
      </c>
      <c r="B26" s="88" t="s">
        <v>178</v>
      </c>
      <c r="C26" s="79">
        <v>631982</v>
      </c>
      <c r="D26" s="24">
        <f t="shared" si="3"/>
        <v>631982</v>
      </c>
      <c r="E26" s="100" t="str">
        <f t="shared" si="0"/>
        <v>-</v>
      </c>
      <c r="F26" s="101">
        <f t="shared" si="1"/>
        <v>1</v>
      </c>
      <c r="G26" s="1">
        <v>631982</v>
      </c>
      <c r="H26" s="85">
        <f t="shared" si="2"/>
        <v>0</v>
      </c>
    </row>
    <row r="27" spans="1:8" ht="31.5" customHeight="1">
      <c r="A27" s="77" t="s">
        <v>177</v>
      </c>
      <c r="B27" s="88" t="s">
        <v>180</v>
      </c>
      <c r="C27" s="79">
        <v>1000</v>
      </c>
      <c r="D27" s="24">
        <f t="shared" si="3"/>
        <v>1000</v>
      </c>
      <c r="E27" s="100" t="str">
        <f t="shared" si="0"/>
        <v>-</v>
      </c>
      <c r="F27" s="101">
        <f t="shared" si="1"/>
        <v>1</v>
      </c>
      <c r="G27" s="1">
        <v>1000</v>
      </c>
      <c r="H27" s="85">
        <f t="shared" si="2"/>
        <v>0</v>
      </c>
    </row>
    <row r="28" spans="1:8" ht="31.5" customHeight="1">
      <c r="A28" s="77" t="s">
        <v>181</v>
      </c>
      <c r="B28" s="88" t="s">
        <v>179</v>
      </c>
      <c r="C28" s="79">
        <v>1000</v>
      </c>
      <c r="D28" s="24">
        <f t="shared" si="3"/>
        <v>1000</v>
      </c>
      <c r="E28" s="100" t="str">
        <f t="shared" si="0"/>
        <v>-</v>
      </c>
      <c r="F28" s="101">
        <f t="shared" si="1"/>
        <v>1</v>
      </c>
      <c r="G28" s="1">
        <v>1000</v>
      </c>
      <c r="H28" s="85">
        <f t="shared" si="2"/>
        <v>0</v>
      </c>
    </row>
    <row r="29" spans="1:8" ht="33" customHeight="1">
      <c r="A29" s="30" t="s">
        <v>15</v>
      </c>
      <c r="B29" s="35" t="s">
        <v>124</v>
      </c>
      <c r="C29" s="79">
        <v>0</v>
      </c>
      <c r="D29" s="24">
        <f t="shared" si="3"/>
        <v>0</v>
      </c>
      <c r="E29" s="100" t="str">
        <f t="shared" si="0"/>
        <v>-</v>
      </c>
      <c r="F29" s="101" t="str">
        <f t="shared" si="1"/>
        <v>-</v>
      </c>
      <c r="G29" s="1">
        <v>0</v>
      </c>
      <c r="H29" s="85">
        <f t="shared" si="2"/>
        <v>0</v>
      </c>
    </row>
    <row r="30" spans="1:8" ht="33" customHeight="1">
      <c r="A30" s="30" t="s">
        <v>121</v>
      </c>
      <c r="B30" s="39" t="s">
        <v>182</v>
      </c>
      <c r="C30" s="79">
        <v>0</v>
      </c>
      <c r="D30" s="24">
        <f t="shared" si="3"/>
        <v>0</v>
      </c>
      <c r="E30" s="100" t="str">
        <f t="shared" si="0"/>
        <v>-</v>
      </c>
      <c r="F30" s="101" t="str">
        <f t="shared" si="1"/>
        <v>-</v>
      </c>
      <c r="G30" s="1">
        <v>0</v>
      </c>
      <c r="H30" s="85">
        <f t="shared" si="2"/>
        <v>0</v>
      </c>
    </row>
    <row r="31" spans="1:8" ht="31.5" customHeight="1">
      <c r="A31" s="77" t="s">
        <v>183</v>
      </c>
      <c r="B31" s="88" t="s">
        <v>199</v>
      </c>
      <c r="C31" s="79">
        <v>0</v>
      </c>
      <c r="D31" s="24">
        <f t="shared" si="3"/>
        <v>0</v>
      </c>
      <c r="E31" s="100" t="str">
        <f t="shared" si="0"/>
        <v>-</v>
      </c>
      <c r="F31" s="101" t="str">
        <f t="shared" si="1"/>
        <v>-</v>
      </c>
      <c r="G31" s="1">
        <v>0</v>
      </c>
      <c r="H31" s="85">
        <f t="shared" si="2"/>
        <v>0</v>
      </c>
    </row>
    <row r="32" spans="1:8" ht="33" customHeight="1">
      <c r="A32" s="30" t="s">
        <v>122</v>
      </c>
      <c r="B32" s="36" t="s">
        <v>125</v>
      </c>
      <c r="C32" s="79">
        <v>232342</v>
      </c>
      <c r="D32" s="24">
        <f>C32-232342</f>
        <v>0</v>
      </c>
      <c r="E32" s="100">
        <f t="shared" si="0"/>
        <v>-232342</v>
      </c>
      <c r="F32" s="101">
        <f t="shared" si="1"/>
        <v>0</v>
      </c>
      <c r="G32" s="1">
        <v>0</v>
      </c>
      <c r="H32" s="85">
        <f t="shared" si="2"/>
        <v>0</v>
      </c>
    </row>
    <row r="33" spans="1:8" ht="33" customHeight="1">
      <c r="A33" s="30" t="s">
        <v>123</v>
      </c>
      <c r="B33" s="39" t="s">
        <v>198</v>
      </c>
      <c r="C33" s="79">
        <v>42734</v>
      </c>
      <c r="D33" s="24">
        <f>C33+8663</f>
        <v>51397</v>
      </c>
      <c r="E33" s="100">
        <f t="shared" si="0"/>
        <v>8663</v>
      </c>
      <c r="F33" s="101">
        <f t="shared" si="1"/>
        <v>1.2027</v>
      </c>
      <c r="G33" s="1">
        <v>51397</v>
      </c>
      <c r="H33" s="85">
        <f t="shared" si="2"/>
        <v>0</v>
      </c>
    </row>
    <row r="34" spans="1:8" s="4" customFormat="1" ht="31.5" customHeight="1">
      <c r="A34" s="31" t="s">
        <v>60</v>
      </c>
      <c r="B34" s="37" t="s">
        <v>61</v>
      </c>
      <c r="C34" s="82">
        <v>0</v>
      </c>
      <c r="D34" s="94">
        <f>C34</f>
        <v>0</v>
      </c>
      <c r="E34" s="14" t="str">
        <f t="shared" si="0"/>
        <v>-</v>
      </c>
      <c r="F34" s="102" t="str">
        <f t="shared" si="1"/>
        <v>-</v>
      </c>
      <c r="G34" s="4">
        <v>0</v>
      </c>
      <c r="H34" s="85">
        <f>D34-G34</f>
        <v>0</v>
      </c>
    </row>
    <row r="35" spans="1:8" s="4" customFormat="1" ht="31.5" customHeight="1">
      <c r="A35" s="31" t="s">
        <v>59</v>
      </c>
      <c r="B35" s="37" t="s">
        <v>62</v>
      </c>
      <c r="C35" s="82">
        <v>139826</v>
      </c>
      <c r="D35" s="95">
        <f>C35</f>
        <v>139826</v>
      </c>
      <c r="E35" s="14" t="str">
        <f t="shared" si="0"/>
        <v>-</v>
      </c>
      <c r="F35" s="102">
        <f t="shared" si="1"/>
        <v>1</v>
      </c>
      <c r="G35" s="4">
        <v>139826</v>
      </c>
      <c r="H35" s="85">
        <f t="shared" si="2"/>
        <v>0</v>
      </c>
    </row>
    <row r="36" spans="1:8" s="4" customFormat="1" ht="42.75" customHeight="1">
      <c r="A36" s="31" t="s">
        <v>184</v>
      </c>
      <c r="B36" s="37" t="s">
        <v>185</v>
      </c>
      <c r="C36" s="82">
        <f>C12+C14+C25+C31</f>
        <v>830847</v>
      </c>
      <c r="D36" s="82">
        <f>D12+D14+D25+D31</f>
        <v>840312</v>
      </c>
      <c r="E36" s="14">
        <f t="shared" si="0"/>
        <v>9465</v>
      </c>
      <c r="F36" s="102">
        <f t="shared" si="1"/>
        <v>1.0114</v>
      </c>
      <c r="G36" s="4">
        <v>840312</v>
      </c>
      <c r="H36" s="85">
        <f t="shared" si="2"/>
        <v>0</v>
      </c>
    </row>
    <row r="37" spans="1:6" s="2" customFormat="1" ht="30" customHeight="1">
      <c r="A37" s="25" t="s">
        <v>16</v>
      </c>
      <c r="B37" s="44" t="s">
        <v>195</v>
      </c>
      <c r="C37" s="23">
        <f>C38+C39+C40+C48+C50+C56+C57+C55</f>
        <v>35081</v>
      </c>
      <c r="D37" s="23">
        <f>D38+D39+D40+D48+D50+D56+D57+D55</f>
        <v>35081</v>
      </c>
      <c r="E37" s="12" t="str">
        <f t="shared" si="0"/>
        <v>-</v>
      </c>
      <c r="F37" s="103">
        <f t="shared" si="1"/>
        <v>1</v>
      </c>
    </row>
    <row r="38" spans="1:6" ht="28.5" customHeight="1">
      <c r="A38" s="30" t="s">
        <v>17</v>
      </c>
      <c r="B38" s="39" t="s">
        <v>18</v>
      </c>
      <c r="C38" s="79">
        <v>1675</v>
      </c>
      <c r="D38" s="83">
        <f>C38</f>
        <v>1675</v>
      </c>
      <c r="E38" s="100" t="str">
        <f t="shared" si="0"/>
        <v>-</v>
      </c>
      <c r="F38" s="101">
        <f t="shared" si="1"/>
        <v>1</v>
      </c>
    </row>
    <row r="39" spans="1:6" ht="28.5" customHeight="1">
      <c r="A39" s="30" t="s">
        <v>19</v>
      </c>
      <c r="B39" s="39" t="s">
        <v>20</v>
      </c>
      <c r="C39" s="79">
        <v>4029</v>
      </c>
      <c r="D39" s="83">
        <f>C39</f>
        <v>4029</v>
      </c>
      <c r="E39" s="100" t="str">
        <f t="shared" si="0"/>
        <v>-</v>
      </c>
      <c r="F39" s="101">
        <f t="shared" si="1"/>
        <v>1</v>
      </c>
    </row>
    <row r="40" spans="1:6" ht="28.5" customHeight="1">
      <c r="A40" s="30" t="s">
        <v>21</v>
      </c>
      <c r="B40" s="40" t="s">
        <v>32</v>
      </c>
      <c r="C40" s="93">
        <f>C41+C43+C44+C45+C46+C47</f>
        <v>571</v>
      </c>
      <c r="D40" s="83">
        <f>D41+D43+D44+D45+D46+D47</f>
        <v>571</v>
      </c>
      <c r="E40" s="100" t="str">
        <f t="shared" si="0"/>
        <v>-</v>
      </c>
      <c r="F40" s="101">
        <f t="shared" si="1"/>
        <v>1</v>
      </c>
    </row>
    <row r="41" spans="1:6" ht="28.5" customHeight="1">
      <c r="A41" s="41" t="s">
        <v>40</v>
      </c>
      <c r="B41" s="42" t="s">
        <v>33</v>
      </c>
      <c r="C41" s="79">
        <v>88</v>
      </c>
      <c r="D41" s="83">
        <f>C41</f>
        <v>88</v>
      </c>
      <c r="E41" s="100" t="str">
        <f t="shared" si="0"/>
        <v>-</v>
      </c>
      <c r="F41" s="101">
        <f t="shared" si="1"/>
        <v>1</v>
      </c>
    </row>
    <row r="42" spans="1:6" ht="28.5" customHeight="1">
      <c r="A42" s="41" t="s">
        <v>41</v>
      </c>
      <c r="B42" s="43" t="s">
        <v>34</v>
      </c>
      <c r="C42" s="79">
        <v>65</v>
      </c>
      <c r="D42" s="83">
        <f aca="true" t="shared" si="4" ref="D42:D61">C42</f>
        <v>65</v>
      </c>
      <c r="E42" s="100" t="str">
        <f t="shared" si="0"/>
        <v>-</v>
      </c>
      <c r="F42" s="101">
        <f t="shared" si="1"/>
        <v>1</v>
      </c>
    </row>
    <row r="43" spans="1:6" ht="28.5" customHeight="1">
      <c r="A43" s="41" t="s">
        <v>42</v>
      </c>
      <c r="B43" s="42" t="s">
        <v>35</v>
      </c>
      <c r="C43" s="79">
        <v>13</v>
      </c>
      <c r="D43" s="83">
        <f t="shared" si="4"/>
        <v>13</v>
      </c>
      <c r="E43" s="100" t="str">
        <f t="shared" si="0"/>
        <v>-</v>
      </c>
      <c r="F43" s="101">
        <f t="shared" si="1"/>
        <v>1</v>
      </c>
    </row>
    <row r="44" spans="1:6" ht="28.5" customHeight="1">
      <c r="A44" s="41" t="s">
        <v>43</v>
      </c>
      <c r="B44" s="42" t="s">
        <v>36</v>
      </c>
      <c r="C44" s="79">
        <v>1</v>
      </c>
      <c r="D44" s="83">
        <f t="shared" si="4"/>
        <v>1</v>
      </c>
      <c r="E44" s="100" t="str">
        <f t="shared" si="0"/>
        <v>-</v>
      </c>
      <c r="F44" s="101">
        <f t="shared" si="1"/>
        <v>1</v>
      </c>
    </row>
    <row r="45" spans="1:6" ht="28.5" customHeight="1">
      <c r="A45" s="41" t="s">
        <v>44</v>
      </c>
      <c r="B45" s="42" t="s">
        <v>37</v>
      </c>
      <c r="C45" s="79">
        <v>0</v>
      </c>
      <c r="D45" s="83">
        <f t="shared" si="4"/>
        <v>0</v>
      </c>
      <c r="E45" s="100" t="str">
        <f t="shared" si="0"/>
        <v>-</v>
      </c>
      <c r="F45" s="101" t="str">
        <f t="shared" si="1"/>
        <v>-</v>
      </c>
    </row>
    <row r="46" spans="1:6" ht="28.5" customHeight="1">
      <c r="A46" s="41" t="s">
        <v>45</v>
      </c>
      <c r="B46" s="42" t="s">
        <v>38</v>
      </c>
      <c r="C46" s="79">
        <v>468</v>
      </c>
      <c r="D46" s="83">
        <f t="shared" si="4"/>
        <v>468</v>
      </c>
      <c r="E46" s="100" t="str">
        <f t="shared" si="0"/>
        <v>-</v>
      </c>
      <c r="F46" s="101">
        <f t="shared" si="1"/>
        <v>1</v>
      </c>
    </row>
    <row r="47" spans="1:6" ht="28.5" customHeight="1">
      <c r="A47" s="41" t="s">
        <v>46</v>
      </c>
      <c r="B47" s="42" t="s">
        <v>39</v>
      </c>
      <c r="C47" s="79">
        <v>1</v>
      </c>
      <c r="D47" s="83">
        <f>C47</f>
        <v>1</v>
      </c>
      <c r="E47" s="100" t="str">
        <f t="shared" si="0"/>
        <v>-</v>
      </c>
      <c r="F47" s="101">
        <f t="shared" si="1"/>
        <v>1</v>
      </c>
    </row>
    <row r="48" spans="1:6" ht="28.5" customHeight="1">
      <c r="A48" s="30" t="s">
        <v>22</v>
      </c>
      <c r="B48" s="39" t="s">
        <v>186</v>
      </c>
      <c r="C48" s="79">
        <v>19755</v>
      </c>
      <c r="D48" s="83">
        <f>C48</f>
        <v>19755</v>
      </c>
      <c r="E48" s="100" t="str">
        <f t="shared" si="0"/>
        <v>-</v>
      </c>
      <c r="F48" s="101">
        <f t="shared" si="1"/>
        <v>1</v>
      </c>
    </row>
    <row r="49" spans="1:6" ht="28.5" customHeight="1">
      <c r="A49" s="41" t="s">
        <v>187</v>
      </c>
      <c r="B49" s="42" t="s">
        <v>188</v>
      </c>
      <c r="C49" s="79">
        <v>70</v>
      </c>
      <c r="D49" s="83">
        <f>C49</f>
        <v>70</v>
      </c>
      <c r="E49" s="100" t="str">
        <f t="shared" si="0"/>
        <v>-</v>
      </c>
      <c r="F49" s="101">
        <f t="shared" si="1"/>
        <v>1</v>
      </c>
    </row>
    <row r="50" spans="1:6" ht="28.5" customHeight="1">
      <c r="A50" s="30" t="s">
        <v>23</v>
      </c>
      <c r="B50" s="40" t="s">
        <v>55</v>
      </c>
      <c r="C50" s="93">
        <f>C51+C52+C53+C54</f>
        <v>4383</v>
      </c>
      <c r="D50" s="83">
        <f>D51+D52+D53+D54</f>
        <v>4383</v>
      </c>
      <c r="E50" s="100" t="str">
        <f t="shared" si="0"/>
        <v>-</v>
      </c>
      <c r="F50" s="101">
        <f t="shared" si="1"/>
        <v>1</v>
      </c>
    </row>
    <row r="51" spans="1:6" ht="28.5" customHeight="1">
      <c r="A51" s="41" t="s">
        <v>51</v>
      </c>
      <c r="B51" s="42" t="s">
        <v>47</v>
      </c>
      <c r="C51" s="83">
        <v>3296</v>
      </c>
      <c r="D51" s="83">
        <f t="shared" si="4"/>
        <v>3296</v>
      </c>
      <c r="E51" s="100" t="str">
        <f t="shared" si="0"/>
        <v>-</v>
      </c>
      <c r="F51" s="101">
        <f t="shared" si="1"/>
        <v>1</v>
      </c>
    </row>
    <row r="52" spans="1:6" ht="28.5" customHeight="1">
      <c r="A52" s="41" t="s">
        <v>52</v>
      </c>
      <c r="B52" s="42" t="s">
        <v>48</v>
      </c>
      <c r="C52" s="83">
        <v>484</v>
      </c>
      <c r="D52" s="83">
        <f t="shared" si="4"/>
        <v>484</v>
      </c>
      <c r="E52" s="100" t="str">
        <f t="shared" si="0"/>
        <v>-</v>
      </c>
      <c r="F52" s="101">
        <f t="shared" si="1"/>
        <v>1</v>
      </c>
    </row>
    <row r="53" spans="1:6" ht="28.5" customHeight="1">
      <c r="A53" s="41" t="s">
        <v>53</v>
      </c>
      <c r="B53" s="42" t="s">
        <v>49</v>
      </c>
      <c r="C53" s="83">
        <v>0</v>
      </c>
      <c r="D53" s="83">
        <f t="shared" si="4"/>
        <v>0</v>
      </c>
      <c r="E53" s="100" t="str">
        <f t="shared" si="0"/>
        <v>-</v>
      </c>
      <c r="F53" s="101" t="str">
        <f t="shared" si="1"/>
        <v>-</v>
      </c>
    </row>
    <row r="54" spans="1:6" ht="28.5" customHeight="1">
      <c r="A54" s="41" t="s">
        <v>54</v>
      </c>
      <c r="B54" s="42" t="s">
        <v>50</v>
      </c>
      <c r="C54" s="83">
        <v>603</v>
      </c>
      <c r="D54" s="83">
        <f t="shared" si="4"/>
        <v>603</v>
      </c>
      <c r="E54" s="100" t="str">
        <f t="shared" si="0"/>
        <v>-</v>
      </c>
      <c r="F54" s="101">
        <f t="shared" si="1"/>
        <v>1</v>
      </c>
    </row>
    <row r="55" spans="1:6" ht="28.5" customHeight="1">
      <c r="A55" s="30" t="s">
        <v>24</v>
      </c>
      <c r="B55" s="39" t="s">
        <v>25</v>
      </c>
      <c r="C55" s="79">
        <v>0</v>
      </c>
      <c r="D55" s="83">
        <f>C55</f>
        <v>0</v>
      </c>
      <c r="E55" s="100" t="str">
        <f t="shared" si="0"/>
        <v>-</v>
      </c>
      <c r="F55" s="101" t="str">
        <f t="shared" si="1"/>
        <v>-</v>
      </c>
    </row>
    <row r="56" spans="1:6" ht="28.5" customHeight="1">
      <c r="A56" s="30" t="s">
        <v>26</v>
      </c>
      <c r="B56" s="39" t="s">
        <v>189</v>
      </c>
      <c r="C56" s="79">
        <v>4348</v>
      </c>
      <c r="D56" s="83">
        <f>C56</f>
        <v>4348</v>
      </c>
      <c r="E56" s="100" t="str">
        <f t="shared" si="0"/>
        <v>-</v>
      </c>
      <c r="F56" s="104">
        <f t="shared" si="1"/>
        <v>1</v>
      </c>
    </row>
    <row r="57" spans="1:6" ht="28.5" customHeight="1">
      <c r="A57" s="30" t="s">
        <v>27</v>
      </c>
      <c r="B57" s="39" t="s">
        <v>28</v>
      </c>
      <c r="C57" s="79">
        <v>320</v>
      </c>
      <c r="D57" s="83">
        <f>C57</f>
        <v>320</v>
      </c>
      <c r="E57" s="100" t="str">
        <f t="shared" si="0"/>
        <v>-</v>
      </c>
      <c r="F57" s="101">
        <f t="shared" si="1"/>
        <v>1</v>
      </c>
    </row>
    <row r="58" spans="1:6" s="2" customFormat="1" ht="30" customHeight="1">
      <c r="A58" s="32" t="s">
        <v>29</v>
      </c>
      <c r="B58" s="44" t="s">
        <v>190</v>
      </c>
      <c r="C58" s="81">
        <f>C59+C60+C61+C62</f>
        <v>14231</v>
      </c>
      <c r="D58" s="26">
        <f>D59+D60+D61+D62</f>
        <v>14231</v>
      </c>
      <c r="E58" s="12" t="str">
        <f t="shared" si="0"/>
        <v>-</v>
      </c>
      <c r="F58" s="105">
        <f t="shared" si="1"/>
        <v>1</v>
      </c>
    </row>
    <row r="59" spans="1:6" ht="42" customHeight="1">
      <c r="A59" s="30" t="s">
        <v>104</v>
      </c>
      <c r="B59" s="39" t="s">
        <v>126</v>
      </c>
      <c r="C59" s="79">
        <v>20</v>
      </c>
      <c r="D59" s="83">
        <f t="shared" si="4"/>
        <v>20</v>
      </c>
      <c r="E59" s="75" t="str">
        <f t="shared" si="0"/>
        <v>-</v>
      </c>
      <c r="F59" s="101">
        <f t="shared" si="1"/>
        <v>1</v>
      </c>
    </row>
    <row r="60" spans="1:6" ht="31.5" customHeight="1">
      <c r="A60" s="30" t="s">
        <v>30</v>
      </c>
      <c r="B60" s="39" t="s">
        <v>57</v>
      </c>
      <c r="C60" s="79">
        <v>13711</v>
      </c>
      <c r="D60" s="83">
        <f t="shared" si="4"/>
        <v>13711</v>
      </c>
      <c r="E60" s="75" t="str">
        <f t="shared" si="0"/>
        <v>-</v>
      </c>
      <c r="F60" s="101">
        <f t="shared" si="1"/>
        <v>1</v>
      </c>
    </row>
    <row r="61" spans="1:6" ht="31.5" customHeight="1">
      <c r="A61" s="30" t="s">
        <v>31</v>
      </c>
      <c r="B61" s="39" t="s">
        <v>106</v>
      </c>
      <c r="C61" s="79">
        <v>0</v>
      </c>
      <c r="D61" s="83">
        <f t="shared" si="4"/>
        <v>0</v>
      </c>
      <c r="E61" s="75" t="str">
        <f t="shared" si="0"/>
        <v>-</v>
      </c>
      <c r="F61" s="101" t="str">
        <f t="shared" si="1"/>
        <v>-</v>
      </c>
    </row>
    <row r="62" spans="1:6" ht="31.5" customHeight="1">
      <c r="A62" s="30" t="s">
        <v>105</v>
      </c>
      <c r="B62" s="39" t="s">
        <v>107</v>
      </c>
      <c r="C62" s="79">
        <v>500</v>
      </c>
      <c r="D62" s="83">
        <f>C62</f>
        <v>500</v>
      </c>
      <c r="E62" s="75" t="str">
        <f t="shared" si="0"/>
        <v>-</v>
      </c>
      <c r="F62" s="101">
        <f t="shared" si="1"/>
        <v>1</v>
      </c>
    </row>
    <row r="63" spans="1:6" ht="32.25" customHeight="1">
      <c r="A63" s="32" t="s">
        <v>112</v>
      </c>
      <c r="B63" s="44" t="s">
        <v>133</v>
      </c>
      <c r="C63" s="81">
        <v>1981</v>
      </c>
      <c r="D63" s="26">
        <f>C63</f>
        <v>1981</v>
      </c>
      <c r="E63" s="12" t="str">
        <f t="shared" si="0"/>
        <v>-</v>
      </c>
      <c r="F63" s="105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C4:C5"/>
    <mergeCell ref="A4:A5"/>
    <mergeCell ref="B4:B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63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A2" sqref="A2:B2"/>
      <selection pane="topRight" activeCell="A2" sqref="A2:B2"/>
      <selection pane="bottomLeft" activeCell="A2" sqref="A2:B2"/>
      <selection pane="bottomRight" activeCell="A2" sqref="A2:B2"/>
    </sheetView>
  </sheetViews>
  <sheetFormatPr defaultColWidth="9.00390625" defaultRowHeight="12.75"/>
  <cols>
    <col min="1" max="1" width="9.125" style="1" customWidth="1"/>
    <col min="2" max="2" width="125.875" style="1" customWidth="1"/>
    <col min="3" max="3" width="25.75390625" style="1" customWidth="1"/>
    <col min="4" max="4" width="26.875" style="1" customWidth="1"/>
    <col min="5" max="6" width="20.75390625" style="1" customWidth="1"/>
    <col min="7" max="7" width="9.125" style="1" customWidth="1"/>
    <col min="8" max="8" width="9.375" style="1" bestFit="1" customWidth="1"/>
    <col min="9" max="16384" width="9.125" style="1" customWidth="1"/>
  </cols>
  <sheetData>
    <row r="1" spans="1:6" s="47" customFormat="1" ht="54.75" customHeight="1">
      <c r="A1" s="119" t="str">
        <f>NFZ!A1</f>
        <v>URUCHOMIENIE REZERWY NA KOSZTY ŚWIADCZEŃ OPIEKI ZDROWOTNEJ W RAMACH MIGRACJI UBEZPIECZONYCH Z DNIA 30 SIERPNIA 2012 R. W PLANIE FINANSOWYM NARODOWEGO FUNDUSZU ZDROWIA NA 2013 ROK</v>
      </c>
      <c r="B1" s="119"/>
      <c r="C1" s="119"/>
      <c r="D1" s="119"/>
      <c r="E1" s="119"/>
      <c r="F1" s="119"/>
    </row>
    <row r="2" spans="1:3" s="49" customFormat="1" ht="33" customHeight="1">
      <c r="A2" s="87" t="s">
        <v>64</v>
      </c>
      <c r="B2" s="87"/>
      <c r="C2" s="96"/>
    </row>
    <row r="3" spans="1:6" ht="33" customHeight="1">
      <c r="A3" s="7"/>
      <c r="B3" s="8"/>
      <c r="C3" s="86"/>
      <c r="D3" s="86"/>
      <c r="E3" s="86" t="s">
        <v>166</v>
      </c>
      <c r="F3" s="9"/>
    </row>
    <row r="4" spans="1:6" s="5" customFormat="1" ht="45" customHeight="1">
      <c r="A4" s="114" t="s">
        <v>137</v>
      </c>
      <c r="B4" s="114" t="s">
        <v>56</v>
      </c>
      <c r="C4" s="115" t="s">
        <v>206</v>
      </c>
      <c r="D4" s="115" t="s">
        <v>203</v>
      </c>
      <c r="E4" s="118" t="s">
        <v>204</v>
      </c>
      <c r="F4" s="118" t="s">
        <v>205</v>
      </c>
    </row>
    <row r="5" spans="1:6" s="5" customFormat="1" ht="45" customHeight="1">
      <c r="A5" s="114"/>
      <c r="B5" s="114"/>
      <c r="C5" s="116"/>
      <c r="D5" s="116"/>
      <c r="E5" s="118"/>
      <c r="F5" s="118"/>
    </row>
    <row r="6" spans="1:6" s="3" customFormat="1" ht="14.25">
      <c r="A6" s="46">
        <v>1</v>
      </c>
      <c r="B6" s="51">
        <v>2</v>
      </c>
      <c r="C6" s="46">
        <v>3</v>
      </c>
      <c r="D6" s="51">
        <v>4</v>
      </c>
      <c r="E6" s="46">
        <v>5</v>
      </c>
      <c r="F6" s="51">
        <v>6</v>
      </c>
    </row>
    <row r="7" spans="1:6" s="2" customFormat="1" ht="30" customHeight="1">
      <c r="A7" s="22" t="s">
        <v>0</v>
      </c>
      <c r="B7" s="38" t="s">
        <v>174</v>
      </c>
      <c r="C7" s="97">
        <f>C8+C9+C10+C15+C16+C17+C18+C19+C20+C21+C22+C23+C24+C25+C29+C30+C32+C33</f>
        <v>3414407</v>
      </c>
      <c r="D7" s="15">
        <f>D8+D9+D10+D15+D16+D17+D18+D19+D20+D21+D22+D23+D24+D25+D29+D30+D32+D33</f>
        <v>3414407</v>
      </c>
      <c r="E7" s="12" t="str">
        <f>IF(C7=D7,"-",D7-C7)</f>
        <v>-</v>
      </c>
      <c r="F7" s="99">
        <f>IF(C7=0,"-",D7/C7)</f>
        <v>1</v>
      </c>
    </row>
    <row r="8" spans="1:8" ht="33" customHeight="1">
      <c r="A8" s="28" t="s">
        <v>1</v>
      </c>
      <c r="B8" s="76" t="s">
        <v>138</v>
      </c>
      <c r="C8" s="79">
        <v>420158</v>
      </c>
      <c r="D8" s="24">
        <f>C8</f>
        <v>420158</v>
      </c>
      <c r="E8" s="100" t="str">
        <f aca="true" t="shared" si="0" ref="E8:E63">IF(C8=D8,"-",D8-C8)</f>
        <v>-</v>
      </c>
      <c r="F8" s="101">
        <f aca="true" t="shared" si="1" ref="F8:F63">IF(C8=0,"-",D8/C8)</f>
        <v>1</v>
      </c>
      <c r="G8" s="1">
        <v>420158</v>
      </c>
      <c r="H8" s="85">
        <f>D8-G8</f>
        <v>0</v>
      </c>
    </row>
    <row r="9" spans="1:8" ht="33" customHeight="1">
      <c r="A9" s="28" t="s">
        <v>2</v>
      </c>
      <c r="B9" s="76" t="s">
        <v>139</v>
      </c>
      <c r="C9" s="79">
        <v>256718</v>
      </c>
      <c r="D9" s="24">
        <f>C9+8450</f>
        <v>265168</v>
      </c>
      <c r="E9" s="100">
        <f t="shared" si="0"/>
        <v>8450</v>
      </c>
      <c r="F9" s="101">
        <f t="shared" si="1"/>
        <v>1.0329</v>
      </c>
      <c r="G9" s="1">
        <v>265168</v>
      </c>
      <c r="H9" s="85">
        <f aca="true" t="shared" si="2" ref="H9:H36">D9-G9</f>
        <v>0</v>
      </c>
    </row>
    <row r="10" spans="1:8" ht="33" customHeight="1">
      <c r="A10" s="28" t="s">
        <v>3</v>
      </c>
      <c r="B10" s="76" t="s">
        <v>136</v>
      </c>
      <c r="C10" s="79">
        <v>1517167</v>
      </c>
      <c r="D10" s="24">
        <f>C10+103388+713+6514+2635+2137</f>
        <v>1632554</v>
      </c>
      <c r="E10" s="100">
        <f t="shared" si="0"/>
        <v>115387</v>
      </c>
      <c r="F10" s="101">
        <f t="shared" si="1"/>
        <v>1.0761</v>
      </c>
      <c r="G10" s="1">
        <v>1632554</v>
      </c>
      <c r="H10" s="85">
        <f t="shared" si="2"/>
        <v>0</v>
      </c>
    </row>
    <row r="11" spans="1:8" ht="31.5" customHeight="1">
      <c r="A11" s="77" t="s">
        <v>58</v>
      </c>
      <c r="B11" s="88" t="s">
        <v>167</v>
      </c>
      <c r="C11" s="79">
        <v>99404</v>
      </c>
      <c r="D11" s="24">
        <f>C11+713+6514</f>
        <v>106631</v>
      </c>
      <c r="E11" s="100">
        <f t="shared" si="0"/>
        <v>7227</v>
      </c>
      <c r="F11" s="101">
        <f t="shared" si="1"/>
        <v>1.0727</v>
      </c>
      <c r="G11" s="1">
        <v>106631</v>
      </c>
      <c r="H11" s="85">
        <f t="shared" si="2"/>
        <v>0</v>
      </c>
    </row>
    <row r="12" spans="1:8" ht="31.5" customHeight="1">
      <c r="A12" s="77" t="s">
        <v>168</v>
      </c>
      <c r="B12" s="88" t="s">
        <v>171</v>
      </c>
      <c r="C12" s="79">
        <v>81727</v>
      </c>
      <c r="D12" s="24">
        <f>C12+6514</f>
        <v>88241</v>
      </c>
      <c r="E12" s="100">
        <f t="shared" si="0"/>
        <v>6514</v>
      </c>
      <c r="F12" s="101">
        <f t="shared" si="1"/>
        <v>1.0797</v>
      </c>
      <c r="G12" s="1">
        <v>88241</v>
      </c>
      <c r="H12" s="85">
        <f t="shared" si="2"/>
        <v>0</v>
      </c>
    </row>
    <row r="13" spans="1:8" ht="31.5" customHeight="1">
      <c r="A13" s="77" t="s">
        <v>169</v>
      </c>
      <c r="B13" s="88" t="s">
        <v>172</v>
      </c>
      <c r="C13" s="79">
        <v>73101</v>
      </c>
      <c r="D13" s="24">
        <f>C13+2635+2137</f>
        <v>77873</v>
      </c>
      <c r="E13" s="100">
        <f t="shared" si="0"/>
        <v>4772</v>
      </c>
      <c r="F13" s="101">
        <f t="shared" si="1"/>
        <v>1.0653</v>
      </c>
      <c r="G13" s="1">
        <v>77873</v>
      </c>
      <c r="H13" s="85">
        <f t="shared" si="2"/>
        <v>0</v>
      </c>
    </row>
    <row r="14" spans="1:8" ht="31.5" customHeight="1">
      <c r="A14" s="77" t="s">
        <v>170</v>
      </c>
      <c r="B14" s="88" t="s">
        <v>173</v>
      </c>
      <c r="C14" s="79">
        <v>41792</v>
      </c>
      <c r="D14" s="24">
        <f>C14+2137</f>
        <v>43929</v>
      </c>
      <c r="E14" s="100">
        <f t="shared" si="0"/>
        <v>2137</v>
      </c>
      <c r="F14" s="101">
        <f t="shared" si="1"/>
        <v>1.0511</v>
      </c>
      <c r="G14" s="1">
        <v>43929</v>
      </c>
      <c r="H14" s="85">
        <f t="shared" si="2"/>
        <v>0</v>
      </c>
    </row>
    <row r="15" spans="1:8" ht="33" customHeight="1">
      <c r="A15" s="28" t="s">
        <v>4</v>
      </c>
      <c r="B15" s="76" t="s">
        <v>144</v>
      </c>
      <c r="C15" s="79">
        <v>101339</v>
      </c>
      <c r="D15" s="24">
        <f>C15+12941</f>
        <v>114280</v>
      </c>
      <c r="E15" s="100">
        <f t="shared" si="0"/>
        <v>12941</v>
      </c>
      <c r="F15" s="101">
        <f t="shared" si="1"/>
        <v>1.1277</v>
      </c>
      <c r="G15" s="1">
        <v>114280</v>
      </c>
      <c r="H15" s="85">
        <f t="shared" si="2"/>
        <v>0</v>
      </c>
    </row>
    <row r="16" spans="1:8" ht="33" customHeight="1">
      <c r="A16" s="28" t="s">
        <v>5</v>
      </c>
      <c r="B16" s="76" t="s">
        <v>140</v>
      </c>
      <c r="C16" s="79">
        <v>80481</v>
      </c>
      <c r="D16" s="24">
        <f>C16+3691</f>
        <v>84172</v>
      </c>
      <c r="E16" s="100">
        <f t="shared" si="0"/>
        <v>3691</v>
      </c>
      <c r="F16" s="101">
        <f t="shared" si="1"/>
        <v>1.0459</v>
      </c>
      <c r="G16" s="1">
        <v>84172</v>
      </c>
      <c r="H16" s="85">
        <f t="shared" si="2"/>
        <v>0</v>
      </c>
    </row>
    <row r="17" spans="1:8" ht="33" customHeight="1">
      <c r="A17" s="28" t="s">
        <v>6</v>
      </c>
      <c r="B17" s="76" t="s">
        <v>146</v>
      </c>
      <c r="C17" s="79">
        <v>44311</v>
      </c>
      <c r="D17" s="24">
        <f>C17+1678</f>
        <v>45989</v>
      </c>
      <c r="E17" s="100">
        <f t="shared" si="0"/>
        <v>1678</v>
      </c>
      <c r="F17" s="101">
        <f t="shared" si="1"/>
        <v>1.0379</v>
      </c>
      <c r="G17" s="1">
        <v>45989</v>
      </c>
      <c r="H17" s="85">
        <f t="shared" si="2"/>
        <v>0</v>
      </c>
    </row>
    <row r="18" spans="1:8" ht="33" customHeight="1">
      <c r="A18" s="28" t="s">
        <v>7</v>
      </c>
      <c r="B18" s="76" t="s">
        <v>145</v>
      </c>
      <c r="C18" s="79">
        <v>25378</v>
      </c>
      <c r="D18" s="24">
        <f>C18+1201</f>
        <v>26579</v>
      </c>
      <c r="E18" s="100">
        <f t="shared" si="0"/>
        <v>1201</v>
      </c>
      <c r="F18" s="101">
        <f t="shared" si="1"/>
        <v>1.0473</v>
      </c>
      <c r="G18" s="1">
        <v>26579</v>
      </c>
      <c r="H18" s="85">
        <f t="shared" si="2"/>
        <v>0</v>
      </c>
    </row>
    <row r="19" spans="1:8" ht="33" customHeight="1">
      <c r="A19" s="28" t="s">
        <v>8</v>
      </c>
      <c r="B19" s="76" t="s">
        <v>141</v>
      </c>
      <c r="C19" s="79">
        <v>96386</v>
      </c>
      <c r="D19" s="24">
        <f>C19+2926</f>
        <v>99312</v>
      </c>
      <c r="E19" s="100">
        <f t="shared" si="0"/>
        <v>2926</v>
      </c>
      <c r="F19" s="101">
        <f t="shared" si="1"/>
        <v>1.0304</v>
      </c>
      <c r="G19" s="1">
        <v>99312</v>
      </c>
      <c r="H19" s="85">
        <f t="shared" si="2"/>
        <v>0</v>
      </c>
    </row>
    <row r="20" spans="1:8" ht="33" customHeight="1">
      <c r="A20" s="28" t="s">
        <v>9</v>
      </c>
      <c r="B20" s="76" t="s">
        <v>142</v>
      </c>
      <c r="C20" s="79">
        <v>32133</v>
      </c>
      <c r="D20" s="24">
        <f>C20</f>
        <v>32133</v>
      </c>
      <c r="E20" s="100" t="str">
        <f t="shared" si="0"/>
        <v>-</v>
      </c>
      <c r="F20" s="101">
        <f t="shared" si="1"/>
        <v>1</v>
      </c>
      <c r="G20" s="1">
        <v>32133</v>
      </c>
      <c r="H20" s="85">
        <f t="shared" si="2"/>
        <v>0</v>
      </c>
    </row>
    <row r="21" spans="1:8" ht="33" customHeight="1">
      <c r="A21" s="28" t="s">
        <v>10</v>
      </c>
      <c r="B21" s="76" t="s">
        <v>147</v>
      </c>
      <c r="C21" s="79">
        <v>2443</v>
      </c>
      <c r="D21" s="24">
        <f>C21</f>
        <v>2443</v>
      </c>
      <c r="E21" s="100" t="str">
        <f t="shared" si="0"/>
        <v>-</v>
      </c>
      <c r="F21" s="101">
        <f t="shared" si="1"/>
        <v>1</v>
      </c>
      <c r="G21" s="1">
        <v>2443</v>
      </c>
      <c r="H21" s="85">
        <f t="shared" si="2"/>
        <v>0</v>
      </c>
    </row>
    <row r="22" spans="1:8" ht="46.5" customHeight="1">
      <c r="A22" s="28" t="s">
        <v>11</v>
      </c>
      <c r="B22" s="76" t="s">
        <v>143</v>
      </c>
      <c r="C22" s="79">
        <v>11543</v>
      </c>
      <c r="D22" s="24">
        <f>C22+224</f>
        <v>11767</v>
      </c>
      <c r="E22" s="100">
        <f t="shared" si="0"/>
        <v>224</v>
      </c>
      <c r="F22" s="101">
        <f t="shared" si="1"/>
        <v>1.0194</v>
      </c>
      <c r="G22" s="1">
        <v>11767</v>
      </c>
      <c r="H22" s="85">
        <f t="shared" si="2"/>
        <v>0</v>
      </c>
    </row>
    <row r="23" spans="1:8" ht="33" customHeight="1">
      <c r="A23" s="28" t="s">
        <v>12</v>
      </c>
      <c r="B23" s="76" t="s">
        <v>197</v>
      </c>
      <c r="C23" s="79">
        <v>101990</v>
      </c>
      <c r="D23" s="24">
        <f>C23+7424</f>
        <v>109414</v>
      </c>
      <c r="E23" s="100">
        <f t="shared" si="0"/>
        <v>7424</v>
      </c>
      <c r="F23" s="101">
        <f t="shared" si="1"/>
        <v>1.0728</v>
      </c>
      <c r="G23" s="1">
        <v>109414</v>
      </c>
      <c r="H23" s="85">
        <f t="shared" si="2"/>
        <v>0</v>
      </c>
    </row>
    <row r="24" spans="1:8" ht="33" customHeight="1">
      <c r="A24" s="28" t="s">
        <v>13</v>
      </c>
      <c r="B24" s="76" t="s">
        <v>175</v>
      </c>
      <c r="C24" s="79">
        <v>47000</v>
      </c>
      <c r="D24" s="24">
        <f aca="true" t="shared" si="3" ref="D24:D31">C24</f>
        <v>47000</v>
      </c>
      <c r="E24" s="100" t="str">
        <f t="shared" si="0"/>
        <v>-</v>
      </c>
      <c r="F24" s="101">
        <f t="shared" si="1"/>
        <v>1</v>
      </c>
      <c r="G24" s="1">
        <v>47000</v>
      </c>
      <c r="H24" s="85">
        <f t="shared" si="2"/>
        <v>0</v>
      </c>
    </row>
    <row r="25" spans="1:8" ht="33" customHeight="1">
      <c r="A25" s="29" t="s">
        <v>14</v>
      </c>
      <c r="B25" s="76" t="s">
        <v>176</v>
      </c>
      <c r="C25" s="79">
        <v>493441</v>
      </c>
      <c r="D25" s="24">
        <f t="shared" si="3"/>
        <v>493441</v>
      </c>
      <c r="E25" s="100" t="str">
        <f t="shared" si="0"/>
        <v>-</v>
      </c>
      <c r="F25" s="101">
        <f t="shared" si="1"/>
        <v>1</v>
      </c>
      <c r="G25" s="1">
        <v>493441</v>
      </c>
      <c r="H25" s="85">
        <f t="shared" si="2"/>
        <v>0</v>
      </c>
    </row>
    <row r="26" spans="1:8" ht="31.5">
      <c r="A26" s="27" t="s">
        <v>148</v>
      </c>
      <c r="B26" s="88" t="s">
        <v>178</v>
      </c>
      <c r="C26" s="79">
        <v>492937</v>
      </c>
      <c r="D26" s="24">
        <f t="shared" si="3"/>
        <v>492937</v>
      </c>
      <c r="E26" s="100" t="str">
        <f t="shared" si="0"/>
        <v>-</v>
      </c>
      <c r="F26" s="101">
        <f t="shared" si="1"/>
        <v>1</v>
      </c>
      <c r="G26" s="1">
        <v>492937</v>
      </c>
      <c r="H26" s="85">
        <f t="shared" si="2"/>
        <v>0</v>
      </c>
    </row>
    <row r="27" spans="1:8" ht="31.5" customHeight="1">
      <c r="A27" s="77" t="s">
        <v>177</v>
      </c>
      <c r="B27" s="88" t="s">
        <v>180</v>
      </c>
      <c r="C27" s="79">
        <v>241</v>
      </c>
      <c r="D27" s="24">
        <f t="shared" si="3"/>
        <v>241</v>
      </c>
      <c r="E27" s="100" t="str">
        <f t="shared" si="0"/>
        <v>-</v>
      </c>
      <c r="F27" s="101">
        <f t="shared" si="1"/>
        <v>1</v>
      </c>
      <c r="G27" s="1">
        <v>241</v>
      </c>
      <c r="H27" s="85">
        <f t="shared" si="2"/>
        <v>0</v>
      </c>
    </row>
    <row r="28" spans="1:8" ht="31.5" customHeight="1">
      <c r="A28" s="77" t="s">
        <v>181</v>
      </c>
      <c r="B28" s="88" t="s">
        <v>179</v>
      </c>
      <c r="C28" s="79">
        <v>263</v>
      </c>
      <c r="D28" s="24">
        <f t="shared" si="3"/>
        <v>263</v>
      </c>
      <c r="E28" s="100" t="str">
        <f t="shared" si="0"/>
        <v>-</v>
      </c>
      <c r="F28" s="101">
        <f t="shared" si="1"/>
        <v>1</v>
      </c>
      <c r="G28" s="1">
        <v>263</v>
      </c>
      <c r="H28" s="85">
        <f t="shared" si="2"/>
        <v>0</v>
      </c>
    </row>
    <row r="29" spans="1:8" ht="33" customHeight="1">
      <c r="A29" s="30" t="s">
        <v>15</v>
      </c>
      <c r="B29" s="35" t="s">
        <v>124</v>
      </c>
      <c r="C29" s="79">
        <v>0</v>
      </c>
      <c r="D29" s="24">
        <f t="shared" si="3"/>
        <v>0</v>
      </c>
      <c r="E29" s="100" t="str">
        <f t="shared" si="0"/>
        <v>-</v>
      </c>
      <c r="F29" s="101" t="str">
        <f t="shared" si="1"/>
        <v>-</v>
      </c>
      <c r="G29" s="1">
        <v>0</v>
      </c>
      <c r="H29" s="85">
        <f t="shared" si="2"/>
        <v>0</v>
      </c>
    </row>
    <row r="30" spans="1:8" ht="33" customHeight="1">
      <c r="A30" s="30" t="s">
        <v>121</v>
      </c>
      <c r="B30" s="39" t="s">
        <v>182</v>
      </c>
      <c r="C30" s="79">
        <v>0</v>
      </c>
      <c r="D30" s="24">
        <f t="shared" si="3"/>
        <v>0</v>
      </c>
      <c r="E30" s="100" t="str">
        <f t="shared" si="0"/>
        <v>-</v>
      </c>
      <c r="F30" s="101" t="str">
        <f t="shared" si="1"/>
        <v>-</v>
      </c>
      <c r="G30" s="1">
        <v>0</v>
      </c>
      <c r="H30" s="85">
        <f t="shared" si="2"/>
        <v>0</v>
      </c>
    </row>
    <row r="31" spans="1:8" ht="31.5" customHeight="1">
      <c r="A31" s="77" t="s">
        <v>183</v>
      </c>
      <c r="B31" s="88" t="s">
        <v>199</v>
      </c>
      <c r="C31" s="79">
        <v>0</v>
      </c>
      <c r="D31" s="24">
        <f t="shared" si="3"/>
        <v>0</v>
      </c>
      <c r="E31" s="100" t="str">
        <f t="shared" si="0"/>
        <v>-</v>
      </c>
      <c r="F31" s="101" t="str">
        <f t="shared" si="1"/>
        <v>-</v>
      </c>
      <c r="G31" s="1">
        <v>0</v>
      </c>
      <c r="H31" s="85">
        <f t="shared" si="2"/>
        <v>0</v>
      </c>
    </row>
    <row r="32" spans="1:8" ht="33" customHeight="1">
      <c r="A32" s="30" t="s">
        <v>122</v>
      </c>
      <c r="B32" s="36" t="s">
        <v>125</v>
      </c>
      <c r="C32" s="79">
        <v>161979</v>
      </c>
      <c r="D32" s="24">
        <f>C32-161979</f>
        <v>0</v>
      </c>
      <c r="E32" s="100">
        <f t="shared" si="0"/>
        <v>-161979</v>
      </c>
      <c r="F32" s="101">
        <f t="shared" si="1"/>
        <v>0</v>
      </c>
      <c r="G32" s="1">
        <v>0</v>
      </c>
      <c r="H32" s="85">
        <f t="shared" si="2"/>
        <v>0</v>
      </c>
    </row>
    <row r="33" spans="1:8" ht="33" customHeight="1">
      <c r="A33" s="30" t="s">
        <v>123</v>
      </c>
      <c r="B33" s="39" t="s">
        <v>198</v>
      </c>
      <c r="C33" s="79">
        <v>21940</v>
      </c>
      <c r="D33" s="24">
        <f>C33+8057</f>
        <v>29997</v>
      </c>
      <c r="E33" s="100">
        <f t="shared" si="0"/>
        <v>8057</v>
      </c>
      <c r="F33" s="101">
        <f t="shared" si="1"/>
        <v>1.3672</v>
      </c>
      <c r="G33" s="1">
        <v>29997</v>
      </c>
      <c r="H33" s="85">
        <f t="shared" si="2"/>
        <v>0</v>
      </c>
    </row>
    <row r="34" spans="1:8" s="4" customFormat="1" ht="31.5" customHeight="1">
      <c r="A34" s="31" t="s">
        <v>60</v>
      </c>
      <c r="B34" s="37" t="s">
        <v>61</v>
      </c>
      <c r="C34" s="82">
        <v>0</v>
      </c>
      <c r="D34" s="94">
        <f>C34</f>
        <v>0</v>
      </c>
      <c r="E34" s="14" t="str">
        <f t="shared" si="0"/>
        <v>-</v>
      </c>
      <c r="F34" s="102" t="str">
        <f t="shared" si="1"/>
        <v>-</v>
      </c>
      <c r="G34" s="4">
        <v>0</v>
      </c>
      <c r="H34" s="85">
        <f t="shared" si="2"/>
        <v>0</v>
      </c>
    </row>
    <row r="35" spans="1:8" s="4" customFormat="1" ht="31.5" customHeight="1">
      <c r="A35" s="31" t="s">
        <v>59</v>
      </c>
      <c r="B35" s="37" t="s">
        <v>62</v>
      </c>
      <c r="C35" s="82">
        <v>109564</v>
      </c>
      <c r="D35" s="95">
        <f>C35</f>
        <v>109564</v>
      </c>
      <c r="E35" s="14" t="str">
        <f t="shared" si="0"/>
        <v>-</v>
      </c>
      <c r="F35" s="102">
        <f t="shared" si="1"/>
        <v>1</v>
      </c>
      <c r="G35" s="4">
        <v>109564</v>
      </c>
      <c r="H35" s="85">
        <f t="shared" si="2"/>
        <v>0</v>
      </c>
    </row>
    <row r="36" spans="1:8" s="4" customFormat="1" ht="42.75" customHeight="1">
      <c r="A36" s="31" t="s">
        <v>184</v>
      </c>
      <c r="B36" s="37" t="s">
        <v>185</v>
      </c>
      <c r="C36" s="82">
        <f>C12+C14+C25+C31</f>
        <v>616960</v>
      </c>
      <c r="D36" s="82">
        <f>D12+D14+D25+D31</f>
        <v>625611</v>
      </c>
      <c r="E36" s="14">
        <f t="shared" si="0"/>
        <v>8651</v>
      </c>
      <c r="F36" s="102">
        <f t="shared" si="1"/>
        <v>1.014</v>
      </c>
      <c r="G36" s="4">
        <v>625611</v>
      </c>
      <c r="H36" s="85">
        <f t="shared" si="2"/>
        <v>0</v>
      </c>
    </row>
    <row r="37" spans="1:6" s="2" customFormat="1" ht="30" customHeight="1">
      <c r="A37" s="25" t="s">
        <v>16</v>
      </c>
      <c r="B37" s="44" t="s">
        <v>195</v>
      </c>
      <c r="C37" s="23">
        <f>C38+C39+C40+C48+C50+C56+C57+C55</f>
        <v>23780</v>
      </c>
      <c r="D37" s="23">
        <f>D38+D39+D40+D48+D50+D56+D57+D55</f>
        <v>23780</v>
      </c>
      <c r="E37" s="12" t="str">
        <f t="shared" si="0"/>
        <v>-</v>
      </c>
      <c r="F37" s="103">
        <f t="shared" si="1"/>
        <v>1</v>
      </c>
    </row>
    <row r="38" spans="1:6" ht="28.5" customHeight="1">
      <c r="A38" s="30" t="s">
        <v>17</v>
      </c>
      <c r="B38" s="39" t="s">
        <v>18</v>
      </c>
      <c r="C38" s="79">
        <v>1180</v>
      </c>
      <c r="D38" s="83">
        <f>C38</f>
        <v>1180</v>
      </c>
      <c r="E38" s="100" t="str">
        <f t="shared" si="0"/>
        <v>-</v>
      </c>
      <c r="F38" s="101">
        <f t="shared" si="1"/>
        <v>1</v>
      </c>
    </row>
    <row r="39" spans="1:6" ht="28.5" customHeight="1">
      <c r="A39" s="30" t="s">
        <v>19</v>
      </c>
      <c r="B39" s="39" t="s">
        <v>20</v>
      </c>
      <c r="C39" s="79">
        <v>3231</v>
      </c>
      <c r="D39" s="83">
        <f>C39</f>
        <v>3231</v>
      </c>
      <c r="E39" s="100" t="str">
        <f t="shared" si="0"/>
        <v>-</v>
      </c>
      <c r="F39" s="101">
        <f t="shared" si="1"/>
        <v>1</v>
      </c>
    </row>
    <row r="40" spans="1:6" ht="28.5" customHeight="1">
      <c r="A40" s="30" t="s">
        <v>21</v>
      </c>
      <c r="B40" s="40" t="s">
        <v>32</v>
      </c>
      <c r="C40" s="93">
        <f>C41+C43+C44+C45+C46+C47</f>
        <v>145</v>
      </c>
      <c r="D40" s="83">
        <f>D41+D43+D44+D45+D46+D47</f>
        <v>145</v>
      </c>
      <c r="E40" s="100" t="str">
        <f t="shared" si="0"/>
        <v>-</v>
      </c>
      <c r="F40" s="101">
        <f t="shared" si="1"/>
        <v>1</v>
      </c>
    </row>
    <row r="41" spans="1:6" ht="28.5" customHeight="1">
      <c r="A41" s="41" t="s">
        <v>40</v>
      </c>
      <c r="B41" s="42" t="s">
        <v>33</v>
      </c>
      <c r="C41" s="79">
        <v>35</v>
      </c>
      <c r="D41" s="83">
        <f>C41</f>
        <v>35</v>
      </c>
      <c r="E41" s="100" t="str">
        <f t="shared" si="0"/>
        <v>-</v>
      </c>
      <c r="F41" s="101">
        <f t="shared" si="1"/>
        <v>1</v>
      </c>
    </row>
    <row r="42" spans="1:6" ht="28.5" customHeight="1">
      <c r="A42" s="41" t="s">
        <v>41</v>
      </c>
      <c r="B42" s="43" t="s">
        <v>34</v>
      </c>
      <c r="C42" s="79">
        <v>35</v>
      </c>
      <c r="D42" s="83">
        <f aca="true" t="shared" si="4" ref="D42:D61">C42</f>
        <v>35</v>
      </c>
      <c r="E42" s="100" t="str">
        <f t="shared" si="0"/>
        <v>-</v>
      </c>
      <c r="F42" s="101">
        <f t="shared" si="1"/>
        <v>1</v>
      </c>
    </row>
    <row r="43" spans="1:6" ht="28.5" customHeight="1">
      <c r="A43" s="41" t="s">
        <v>42</v>
      </c>
      <c r="B43" s="42" t="s">
        <v>35</v>
      </c>
      <c r="C43" s="79">
        <v>5</v>
      </c>
      <c r="D43" s="83">
        <f t="shared" si="4"/>
        <v>5</v>
      </c>
      <c r="E43" s="100" t="str">
        <f t="shared" si="0"/>
        <v>-</v>
      </c>
      <c r="F43" s="101">
        <f t="shared" si="1"/>
        <v>1</v>
      </c>
    </row>
    <row r="44" spans="1:6" ht="28.5" customHeight="1">
      <c r="A44" s="41" t="s">
        <v>43</v>
      </c>
      <c r="B44" s="42" t="s">
        <v>36</v>
      </c>
      <c r="C44" s="79">
        <v>0</v>
      </c>
      <c r="D44" s="83">
        <f t="shared" si="4"/>
        <v>0</v>
      </c>
      <c r="E44" s="100" t="str">
        <f t="shared" si="0"/>
        <v>-</v>
      </c>
      <c r="F44" s="101" t="str">
        <f t="shared" si="1"/>
        <v>-</v>
      </c>
    </row>
    <row r="45" spans="1:6" ht="28.5" customHeight="1">
      <c r="A45" s="41" t="s">
        <v>44</v>
      </c>
      <c r="B45" s="42" t="s">
        <v>37</v>
      </c>
      <c r="C45" s="79">
        <v>0</v>
      </c>
      <c r="D45" s="83">
        <f t="shared" si="4"/>
        <v>0</v>
      </c>
      <c r="E45" s="100" t="str">
        <f t="shared" si="0"/>
        <v>-</v>
      </c>
      <c r="F45" s="101" t="str">
        <f t="shared" si="1"/>
        <v>-</v>
      </c>
    </row>
    <row r="46" spans="1:6" ht="28.5" customHeight="1">
      <c r="A46" s="41" t="s">
        <v>45</v>
      </c>
      <c r="B46" s="42" t="s">
        <v>38</v>
      </c>
      <c r="C46" s="79">
        <v>100</v>
      </c>
      <c r="D46" s="83">
        <f t="shared" si="4"/>
        <v>100</v>
      </c>
      <c r="E46" s="100" t="str">
        <f t="shared" si="0"/>
        <v>-</v>
      </c>
      <c r="F46" s="101">
        <f t="shared" si="1"/>
        <v>1</v>
      </c>
    </row>
    <row r="47" spans="1:6" ht="28.5" customHeight="1">
      <c r="A47" s="41" t="s">
        <v>46</v>
      </c>
      <c r="B47" s="42" t="s">
        <v>39</v>
      </c>
      <c r="C47" s="79">
        <v>5</v>
      </c>
      <c r="D47" s="83">
        <f>C47</f>
        <v>5</v>
      </c>
      <c r="E47" s="100" t="str">
        <f t="shared" si="0"/>
        <v>-</v>
      </c>
      <c r="F47" s="101">
        <f t="shared" si="1"/>
        <v>1</v>
      </c>
    </row>
    <row r="48" spans="1:6" ht="28.5" customHeight="1">
      <c r="A48" s="30" t="s">
        <v>22</v>
      </c>
      <c r="B48" s="39" t="s">
        <v>186</v>
      </c>
      <c r="C48" s="79">
        <v>13960</v>
      </c>
      <c r="D48" s="83">
        <f>C48</f>
        <v>13960</v>
      </c>
      <c r="E48" s="100" t="str">
        <f t="shared" si="0"/>
        <v>-</v>
      </c>
      <c r="F48" s="101">
        <f t="shared" si="1"/>
        <v>1</v>
      </c>
    </row>
    <row r="49" spans="1:6" ht="28.5" customHeight="1">
      <c r="A49" s="41" t="s">
        <v>187</v>
      </c>
      <c r="B49" s="42" t="s">
        <v>188</v>
      </c>
      <c r="C49" s="79">
        <v>20</v>
      </c>
      <c r="D49" s="83">
        <f>C49</f>
        <v>20</v>
      </c>
      <c r="E49" s="100" t="str">
        <f t="shared" si="0"/>
        <v>-</v>
      </c>
      <c r="F49" s="101">
        <f t="shared" si="1"/>
        <v>1</v>
      </c>
    </row>
    <row r="50" spans="1:6" ht="28.5" customHeight="1">
      <c r="A50" s="30" t="s">
        <v>23</v>
      </c>
      <c r="B50" s="40" t="s">
        <v>55</v>
      </c>
      <c r="C50" s="93">
        <f>C51+C52+C53+C54</f>
        <v>3097</v>
      </c>
      <c r="D50" s="83">
        <f>D51+D52+D53+D54</f>
        <v>3097</v>
      </c>
      <c r="E50" s="100" t="str">
        <f t="shared" si="0"/>
        <v>-</v>
      </c>
      <c r="F50" s="101">
        <f t="shared" si="1"/>
        <v>1</v>
      </c>
    </row>
    <row r="51" spans="1:6" ht="28.5" customHeight="1">
      <c r="A51" s="41" t="s">
        <v>51</v>
      </c>
      <c r="B51" s="42" t="s">
        <v>47</v>
      </c>
      <c r="C51" s="83">
        <v>2400</v>
      </c>
      <c r="D51" s="83">
        <f t="shared" si="4"/>
        <v>2400</v>
      </c>
      <c r="E51" s="100" t="str">
        <f t="shared" si="0"/>
        <v>-</v>
      </c>
      <c r="F51" s="101">
        <f t="shared" si="1"/>
        <v>1</v>
      </c>
    </row>
    <row r="52" spans="1:6" ht="28.5" customHeight="1">
      <c r="A52" s="41" t="s">
        <v>52</v>
      </c>
      <c r="B52" s="42" t="s">
        <v>48</v>
      </c>
      <c r="C52" s="83">
        <v>342</v>
      </c>
      <c r="D52" s="83">
        <f t="shared" si="4"/>
        <v>342</v>
      </c>
      <c r="E52" s="100" t="str">
        <f t="shared" si="0"/>
        <v>-</v>
      </c>
      <c r="F52" s="101">
        <f t="shared" si="1"/>
        <v>1</v>
      </c>
    </row>
    <row r="53" spans="1:6" ht="28.5" customHeight="1">
      <c r="A53" s="41" t="s">
        <v>53</v>
      </c>
      <c r="B53" s="42" t="s">
        <v>49</v>
      </c>
      <c r="C53" s="83">
        <v>0</v>
      </c>
      <c r="D53" s="83">
        <f t="shared" si="4"/>
        <v>0</v>
      </c>
      <c r="E53" s="100" t="str">
        <f t="shared" si="0"/>
        <v>-</v>
      </c>
      <c r="F53" s="101" t="str">
        <f t="shared" si="1"/>
        <v>-</v>
      </c>
    </row>
    <row r="54" spans="1:6" ht="28.5" customHeight="1">
      <c r="A54" s="41" t="s">
        <v>54</v>
      </c>
      <c r="B54" s="42" t="s">
        <v>50</v>
      </c>
      <c r="C54" s="83">
        <v>355</v>
      </c>
      <c r="D54" s="83">
        <f t="shared" si="4"/>
        <v>355</v>
      </c>
      <c r="E54" s="100" t="str">
        <f t="shared" si="0"/>
        <v>-</v>
      </c>
      <c r="F54" s="101">
        <f t="shared" si="1"/>
        <v>1</v>
      </c>
    </row>
    <row r="55" spans="1:6" ht="28.5" customHeight="1">
      <c r="A55" s="30" t="s">
        <v>24</v>
      </c>
      <c r="B55" s="39" t="s">
        <v>25</v>
      </c>
      <c r="C55" s="79">
        <v>0</v>
      </c>
      <c r="D55" s="83">
        <f>C55</f>
        <v>0</v>
      </c>
      <c r="E55" s="100" t="str">
        <f t="shared" si="0"/>
        <v>-</v>
      </c>
      <c r="F55" s="101" t="str">
        <f t="shared" si="1"/>
        <v>-</v>
      </c>
    </row>
    <row r="56" spans="1:6" ht="28.5" customHeight="1">
      <c r="A56" s="30" t="s">
        <v>26</v>
      </c>
      <c r="B56" s="39" t="s">
        <v>189</v>
      </c>
      <c r="C56" s="79">
        <v>1600</v>
      </c>
      <c r="D56" s="83">
        <f>C56</f>
        <v>1600</v>
      </c>
      <c r="E56" s="100" t="str">
        <f t="shared" si="0"/>
        <v>-</v>
      </c>
      <c r="F56" s="104">
        <f t="shared" si="1"/>
        <v>1</v>
      </c>
    </row>
    <row r="57" spans="1:6" ht="28.5" customHeight="1">
      <c r="A57" s="30" t="s">
        <v>27</v>
      </c>
      <c r="B57" s="39" t="s">
        <v>28</v>
      </c>
      <c r="C57" s="79">
        <v>567</v>
      </c>
      <c r="D57" s="83">
        <f>C57</f>
        <v>567</v>
      </c>
      <c r="E57" s="100" t="str">
        <f t="shared" si="0"/>
        <v>-</v>
      </c>
      <c r="F57" s="101">
        <f t="shared" si="1"/>
        <v>1</v>
      </c>
    </row>
    <row r="58" spans="1:6" s="2" customFormat="1" ht="30" customHeight="1">
      <c r="A58" s="32" t="s">
        <v>29</v>
      </c>
      <c r="B58" s="44" t="s">
        <v>190</v>
      </c>
      <c r="C58" s="81">
        <f>C59+C60+C61+C62</f>
        <v>50674</v>
      </c>
      <c r="D58" s="26">
        <f>D59+D60+D61+D62</f>
        <v>50674</v>
      </c>
      <c r="E58" s="12" t="str">
        <f t="shared" si="0"/>
        <v>-</v>
      </c>
      <c r="F58" s="105">
        <f t="shared" si="1"/>
        <v>1</v>
      </c>
    </row>
    <row r="59" spans="1:6" ht="42" customHeight="1">
      <c r="A59" s="30" t="s">
        <v>104</v>
      </c>
      <c r="B59" s="39" t="s">
        <v>126</v>
      </c>
      <c r="C59" s="79">
        <v>15</v>
      </c>
      <c r="D59" s="83">
        <f t="shared" si="4"/>
        <v>15</v>
      </c>
      <c r="E59" s="75" t="str">
        <f t="shared" si="0"/>
        <v>-</v>
      </c>
      <c r="F59" s="101">
        <f t="shared" si="1"/>
        <v>1</v>
      </c>
    </row>
    <row r="60" spans="1:6" ht="31.5" customHeight="1">
      <c r="A60" s="30" t="s">
        <v>30</v>
      </c>
      <c r="B60" s="39" t="s">
        <v>57</v>
      </c>
      <c r="C60" s="79">
        <v>49717</v>
      </c>
      <c r="D60" s="83">
        <f t="shared" si="4"/>
        <v>49717</v>
      </c>
      <c r="E60" s="75" t="str">
        <f t="shared" si="0"/>
        <v>-</v>
      </c>
      <c r="F60" s="101">
        <f t="shared" si="1"/>
        <v>1</v>
      </c>
    </row>
    <row r="61" spans="1:6" ht="31.5" customHeight="1">
      <c r="A61" s="30" t="s">
        <v>31</v>
      </c>
      <c r="B61" s="39" t="s">
        <v>106</v>
      </c>
      <c r="C61" s="79">
        <v>0</v>
      </c>
      <c r="D61" s="83">
        <f t="shared" si="4"/>
        <v>0</v>
      </c>
      <c r="E61" s="75" t="str">
        <f t="shared" si="0"/>
        <v>-</v>
      </c>
      <c r="F61" s="101" t="str">
        <f t="shared" si="1"/>
        <v>-</v>
      </c>
    </row>
    <row r="62" spans="1:6" ht="31.5" customHeight="1">
      <c r="A62" s="30" t="s">
        <v>105</v>
      </c>
      <c r="B62" s="39" t="s">
        <v>107</v>
      </c>
      <c r="C62" s="79">
        <v>942</v>
      </c>
      <c r="D62" s="83">
        <f>C62</f>
        <v>942</v>
      </c>
      <c r="E62" s="75" t="str">
        <f t="shared" si="0"/>
        <v>-</v>
      </c>
      <c r="F62" s="101">
        <f t="shared" si="1"/>
        <v>1</v>
      </c>
    </row>
    <row r="63" spans="1:6" ht="32.25" customHeight="1">
      <c r="A63" s="32" t="s">
        <v>112</v>
      </c>
      <c r="B63" s="44" t="s">
        <v>133</v>
      </c>
      <c r="C63" s="81">
        <v>31682</v>
      </c>
      <c r="D63" s="26">
        <f>C63</f>
        <v>31682</v>
      </c>
      <c r="E63" s="12" t="str">
        <f t="shared" si="0"/>
        <v>-</v>
      </c>
      <c r="F63" s="105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63"/>
  <sheetViews>
    <sheetView showGridLines="0" view="pageBreakPreview" zoomScale="55" zoomScaleNormal="70" zoomScaleSheetLayoutView="55" zoomScalePageLayoutView="0" workbookViewId="0" topLeftCell="A1">
      <pane xSplit="2" ySplit="7" topLeftCell="C15" activePane="bottomRight" state="frozen"/>
      <selection pane="topLeft" activeCell="A2" sqref="A2:B2"/>
      <selection pane="topRight" activeCell="A2" sqref="A2:B2"/>
      <selection pane="bottomLeft" activeCell="A2" sqref="A2:B2"/>
      <selection pane="bottomRight" activeCell="A2" sqref="A2:B2"/>
    </sheetView>
  </sheetViews>
  <sheetFormatPr defaultColWidth="9.00390625" defaultRowHeight="12.75"/>
  <cols>
    <col min="1" max="1" width="9.125" style="1" customWidth="1"/>
    <col min="2" max="2" width="125.875" style="1" customWidth="1"/>
    <col min="3" max="3" width="25.75390625" style="1" customWidth="1"/>
    <col min="4" max="4" width="26.875" style="1" customWidth="1"/>
    <col min="5" max="6" width="20.75390625" style="1" customWidth="1"/>
    <col min="7" max="7" width="9.125" style="1" customWidth="1"/>
    <col min="8" max="8" width="9.375" style="1" bestFit="1" customWidth="1"/>
    <col min="9" max="16384" width="9.125" style="1" customWidth="1"/>
  </cols>
  <sheetData>
    <row r="1" spans="1:6" s="47" customFormat="1" ht="54.75" customHeight="1">
      <c r="A1" s="119" t="str">
        <f>NFZ!A1</f>
        <v>URUCHOMIENIE REZERWY NA KOSZTY ŚWIADCZEŃ OPIEKI ZDROWOTNEJ W RAMACH MIGRACJI UBEZPIECZONYCH Z DNIA 30 SIERPNIA 2012 R. W PLANIE FINANSOWYM NARODOWEGO FUNDUSZU ZDROWIA NA 2013 ROK</v>
      </c>
      <c r="B1" s="119"/>
      <c r="C1" s="119"/>
      <c r="D1" s="119"/>
      <c r="E1" s="119"/>
      <c r="F1" s="119"/>
    </row>
    <row r="2" spans="1:3" s="49" customFormat="1" ht="33" customHeight="1">
      <c r="A2" s="87" t="s">
        <v>65</v>
      </c>
      <c r="B2" s="87"/>
      <c r="C2" s="96"/>
    </row>
    <row r="3" spans="1:6" ht="33" customHeight="1">
      <c r="A3" s="7"/>
      <c r="B3" s="8"/>
      <c r="C3" s="86"/>
      <c r="D3" s="86"/>
      <c r="E3" s="86" t="s">
        <v>166</v>
      </c>
      <c r="F3" s="9"/>
    </row>
    <row r="4" spans="1:6" s="5" customFormat="1" ht="45" customHeight="1">
      <c r="A4" s="114" t="s">
        <v>137</v>
      </c>
      <c r="B4" s="114" t="s">
        <v>56</v>
      </c>
      <c r="C4" s="115" t="s">
        <v>206</v>
      </c>
      <c r="D4" s="115" t="s">
        <v>203</v>
      </c>
      <c r="E4" s="118" t="s">
        <v>204</v>
      </c>
      <c r="F4" s="118" t="s">
        <v>205</v>
      </c>
    </row>
    <row r="5" spans="1:6" s="5" customFormat="1" ht="45" customHeight="1">
      <c r="A5" s="114"/>
      <c r="B5" s="114"/>
      <c r="C5" s="116"/>
      <c r="D5" s="116"/>
      <c r="E5" s="118"/>
      <c r="F5" s="118"/>
    </row>
    <row r="6" spans="1:6" s="3" customFormat="1" ht="14.25">
      <c r="A6" s="46">
        <v>1</v>
      </c>
      <c r="B6" s="51">
        <v>2</v>
      </c>
      <c r="C6" s="46">
        <v>3</v>
      </c>
      <c r="D6" s="51">
        <v>4</v>
      </c>
      <c r="E6" s="46">
        <v>5</v>
      </c>
      <c r="F6" s="51">
        <v>6</v>
      </c>
    </row>
    <row r="7" spans="1:6" s="2" customFormat="1" ht="30" customHeight="1">
      <c r="A7" s="22" t="s">
        <v>0</v>
      </c>
      <c r="B7" s="38" t="s">
        <v>174</v>
      </c>
      <c r="C7" s="97">
        <f>C8+C9+C10+C15+C16+C17+C18+C19+C20+C21+C22+C23+C24+C25+C29+C30+C32+C33</f>
        <v>3547815</v>
      </c>
      <c r="D7" s="15">
        <f>D8+D9+D10+D15+D16+D17+D18+D19+D20+D21+D22+D23+D24+D25+D29+D30+D32+D33</f>
        <v>3547815</v>
      </c>
      <c r="E7" s="12" t="str">
        <f>IF(C7=D7,"-",D7-C7)</f>
        <v>-</v>
      </c>
      <c r="F7" s="99">
        <f>IF(C7=0,"-",D7/C7)</f>
        <v>1</v>
      </c>
    </row>
    <row r="8" spans="1:8" ht="33" customHeight="1">
      <c r="A8" s="28" t="s">
        <v>1</v>
      </c>
      <c r="B8" s="76" t="s">
        <v>138</v>
      </c>
      <c r="C8" s="79">
        <v>447000</v>
      </c>
      <c r="D8" s="24">
        <f>C8</f>
        <v>447000</v>
      </c>
      <c r="E8" s="100" t="str">
        <f aca="true" t="shared" si="0" ref="E8:E63">IF(C8=D8,"-",D8-C8)</f>
        <v>-</v>
      </c>
      <c r="F8" s="101">
        <f aca="true" t="shared" si="1" ref="F8:F63">IF(C8=0,"-",D8/C8)</f>
        <v>1</v>
      </c>
      <c r="G8" s="1">
        <v>447000</v>
      </c>
      <c r="H8" s="85">
        <f>D8-G8</f>
        <v>0</v>
      </c>
    </row>
    <row r="9" spans="1:8" ht="33" customHeight="1">
      <c r="A9" s="28" t="s">
        <v>2</v>
      </c>
      <c r="B9" s="76" t="s">
        <v>139</v>
      </c>
      <c r="C9" s="79">
        <v>259600</v>
      </c>
      <c r="D9" s="24">
        <f>C9+13415</f>
        <v>273015</v>
      </c>
      <c r="E9" s="100">
        <f t="shared" si="0"/>
        <v>13415</v>
      </c>
      <c r="F9" s="101">
        <f t="shared" si="1"/>
        <v>1.0517</v>
      </c>
      <c r="G9" s="1">
        <v>273015</v>
      </c>
      <c r="H9" s="85">
        <f aca="true" t="shared" si="2" ref="H9:H36">D9-G9</f>
        <v>0</v>
      </c>
    </row>
    <row r="10" spans="1:8" ht="33" customHeight="1">
      <c r="A10" s="28" t="s">
        <v>3</v>
      </c>
      <c r="B10" s="76" t="s">
        <v>136</v>
      </c>
      <c r="C10" s="79">
        <v>1555743</v>
      </c>
      <c r="D10" s="24">
        <f>C10+134171+1339+11300+4142+4443</f>
        <v>1711138</v>
      </c>
      <c r="E10" s="100">
        <f t="shared" si="0"/>
        <v>155395</v>
      </c>
      <c r="F10" s="101">
        <f t="shared" si="1"/>
        <v>1.0999</v>
      </c>
      <c r="G10" s="1">
        <v>1711138</v>
      </c>
      <c r="H10" s="85">
        <f t="shared" si="2"/>
        <v>0</v>
      </c>
    </row>
    <row r="11" spans="1:8" ht="31.5" customHeight="1">
      <c r="A11" s="77" t="s">
        <v>58</v>
      </c>
      <c r="B11" s="88" t="s">
        <v>167</v>
      </c>
      <c r="C11" s="79">
        <v>90998</v>
      </c>
      <c r="D11" s="24">
        <f>C11+1339+11300</f>
        <v>103637</v>
      </c>
      <c r="E11" s="100">
        <f t="shared" si="0"/>
        <v>12639</v>
      </c>
      <c r="F11" s="101">
        <f t="shared" si="1"/>
        <v>1.1389</v>
      </c>
      <c r="G11" s="1">
        <v>103637</v>
      </c>
      <c r="H11" s="85">
        <f t="shared" si="2"/>
        <v>0</v>
      </c>
    </row>
    <row r="12" spans="1:8" ht="31.5" customHeight="1">
      <c r="A12" s="77" t="s">
        <v>168</v>
      </c>
      <c r="B12" s="88" t="s">
        <v>171</v>
      </c>
      <c r="C12" s="79">
        <v>79228</v>
      </c>
      <c r="D12" s="24">
        <f>C12+11300</f>
        <v>90528</v>
      </c>
      <c r="E12" s="100">
        <f t="shared" si="0"/>
        <v>11300</v>
      </c>
      <c r="F12" s="101">
        <f t="shared" si="1"/>
        <v>1.1426</v>
      </c>
      <c r="G12" s="1">
        <v>90528</v>
      </c>
      <c r="H12" s="85">
        <f t="shared" si="2"/>
        <v>0</v>
      </c>
    </row>
    <row r="13" spans="1:8" ht="31.5" customHeight="1">
      <c r="A13" s="77" t="s">
        <v>169</v>
      </c>
      <c r="B13" s="88" t="s">
        <v>172</v>
      </c>
      <c r="C13" s="79">
        <v>69834</v>
      </c>
      <c r="D13" s="24">
        <f>C13+4142+4443</f>
        <v>78419</v>
      </c>
      <c r="E13" s="100">
        <f t="shared" si="0"/>
        <v>8585</v>
      </c>
      <c r="F13" s="101">
        <f t="shared" si="1"/>
        <v>1.1229</v>
      </c>
      <c r="G13" s="1">
        <v>78419</v>
      </c>
      <c r="H13" s="85">
        <f t="shared" si="2"/>
        <v>0</v>
      </c>
    </row>
    <row r="14" spans="1:8" ht="31.5" customHeight="1">
      <c r="A14" s="77" t="s">
        <v>170</v>
      </c>
      <c r="B14" s="88" t="s">
        <v>173</v>
      </c>
      <c r="C14" s="79">
        <v>35711</v>
      </c>
      <c r="D14" s="24">
        <f>C14+4443</f>
        <v>40154</v>
      </c>
      <c r="E14" s="100">
        <f t="shared" si="0"/>
        <v>4443</v>
      </c>
      <c r="F14" s="101">
        <f t="shared" si="1"/>
        <v>1.1244</v>
      </c>
      <c r="G14" s="1">
        <v>40154</v>
      </c>
      <c r="H14" s="85">
        <f t="shared" si="2"/>
        <v>0</v>
      </c>
    </row>
    <row r="15" spans="1:8" ht="33" customHeight="1">
      <c r="A15" s="28" t="s">
        <v>4</v>
      </c>
      <c r="B15" s="76" t="s">
        <v>144</v>
      </c>
      <c r="C15" s="79">
        <v>113505</v>
      </c>
      <c r="D15" s="24">
        <f>C15+13167</f>
        <v>126672</v>
      </c>
      <c r="E15" s="100">
        <f t="shared" si="0"/>
        <v>13167</v>
      </c>
      <c r="F15" s="101">
        <f t="shared" si="1"/>
        <v>1.116</v>
      </c>
      <c r="G15" s="1">
        <v>126672</v>
      </c>
      <c r="H15" s="85">
        <f t="shared" si="2"/>
        <v>0</v>
      </c>
    </row>
    <row r="16" spans="1:8" ht="33" customHeight="1">
      <c r="A16" s="28" t="s">
        <v>5</v>
      </c>
      <c r="B16" s="76" t="s">
        <v>140</v>
      </c>
      <c r="C16" s="79">
        <v>100000</v>
      </c>
      <c r="D16" s="24">
        <f>C16+8531</f>
        <v>108531</v>
      </c>
      <c r="E16" s="100">
        <f t="shared" si="0"/>
        <v>8531</v>
      </c>
      <c r="F16" s="101">
        <f t="shared" si="1"/>
        <v>1.0853</v>
      </c>
      <c r="G16" s="1">
        <v>108531</v>
      </c>
      <c r="H16" s="85">
        <f t="shared" si="2"/>
        <v>0</v>
      </c>
    </row>
    <row r="17" spans="1:8" ht="33" customHeight="1">
      <c r="A17" s="28" t="s">
        <v>6</v>
      </c>
      <c r="B17" s="76" t="s">
        <v>146</v>
      </c>
      <c r="C17" s="79">
        <v>48150</v>
      </c>
      <c r="D17" s="24">
        <f>C17+4546</f>
        <v>52696</v>
      </c>
      <c r="E17" s="100">
        <f t="shared" si="0"/>
        <v>4546</v>
      </c>
      <c r="F17" s="101">
        <f t="shared" si="1"/>
        <v>1.0944</v>
      </c>
      <c r="G17" s="1">
        <v>52696</v>
      </c>
      <c r="H17" s="85">
        <f t="shared" si="2"/>
        <v>0</v>
      </c>
    </row>
    <row r="18" spans="1:8" ht="33" customHeight="1">
      <c r="A18" s="28" t="s">
        <v>7</v>
      </c>
      <c r="B18" s="76" t="s">
        <v>145</v>
      </c>
      <c r="C18" s="79">
        <v>14475</v>
      </c>
      <c r="D18" s="24">
        <f>C18+612</f>
        <v>15087</v>
      </c>
      <c r="E18" s="100">
        <f t="shared" si="0"/>
        <v>612</v>
      </c>
      <c r="F18" s="101">
        <f t="shared" si="1"/>
        <v>1.0423</v>
      </c>
      <c r="G18" s="1">
        <v>15087</v>
      </c>
      <c r="H18" s="85">
        <f t="shared" si="2"/>
        <v>0</v>
      </c>
    </row>
    <row r="19" spans="1:8" ht="33" customHeight="1">
      <c r="A19" s="28" t="s">
        <v>8</v>
      </c>
      <c r="B19" s="76" t="s">
        <v>141</v>
      </c>
      <c r="C19" s="79">
        <v>121400</v>
      </c>
      <c r="D19" s="24">
        <f>C19+4172</f>
        <v>125572</v>
      </c>
      <c r="E19" s="100">
        <f t="shared" si="0"/>
        <v>4172</v>
      </c>
      <c r="F19" s="101">
        <f t="shared" si="1"/>
        <v>1.0344</v>
      </c>
      <c r="G19" s="1">
        <v>125572</v>
      </c>
      <c r="H19" s="85">
        <f t="shared" si="2"/>
        <v>0</v>
      </c>
    </row>
    <row r="20" spans="1:8" ht="33" customHeight="1">
      <c r="A20" s="28" t="s">
        <v>9</v>
      </c>
      <c r="B20" s="76" t="s">
        <v>142</v>
      </c>
      <c r="C20" s="79">
        <v>39954</v>
      </c>
      <c r="D20" s="24">
        <f>C20</f>
        <v>39954</v>
      </c>
      <c r="E20" s="100" t="str">
        <f t="shared" si="0"/>
        <v>-</v>
      </c>
      <c r="F20" s="101">
        <f t="shared" si="1"/>
        <v>1</v>
      </c>
      <c r="G20" s="1">
        <v>39954</v>
      </c>
      <c r="H20" s="85">
        <f t="shared" si="2"/>
        <v>0</v>
      </c>
    </row>
    <row r="21" spans="1:8" ht="33" customHeight="1">
      <c r="A21" s="28" t="s">
        <v>10</v>
      </c>
      <c r="B21" s="76" t="s">
        <v>147</v>
      </c>
      <c r="C21" s="79">
        <v>3200</v>
      </c>
      <c r="D21" s="24">
        <f>C21</f>
        <v>3200</v>
      </c>
      <c r="E21" s="100" t="str">
        <f t="shared" si="0"/>
        <v>-</v>
      </c>
      <c r="F21" s="101">
        <f t="shared" si="1"/>
        <v>1</v>
      </c>
      <c r="G21" s="1">
        <v>3200</v>
      </c>
      <c r="H21" s="85">
        <f t="shared" si="2"/>
        <v>0</v>
      </c>
    </row>
    <row r="22" spans="1:8" ht="46.5" customHeight="1">
      <c r="A22" s="28" t="s">
        <v>11</v>
      </c>
      <c r="B22" s="76" t="s">
        <v>143</v>
      </c>
      <c r="C22" s="79">
        <v>8828</v>
      </c>
      <c r="D22" s="24">
        <f>C22+239</f>
        <v>9067</v>
      </c>
      <c r="E22" s="100">
        <f t="shared" si="0"/>
        <v>239</v>
      </c>
      <c r="F22" s="101">
        <f t="shared" si="1"/>
        <v>1.0271</v>
      </c>
      <c r="G22" s="1">
        <v>9067</v>
      </c>
      <c r="H22" s="85">
        <f t="shared" si="2"/>
        <v>0</v>
      </c>
    </row>
    <row r="23" spans="1:8" ht="33" customHeight="1">
      <c r="A23" s="28" t="s">
        <v>12</v>
      </c>
      <c r="B23" s="76" t="s">
        <v>197</v>
      </c>
      <c r="C23" s="79">
        <v>75680</v>
      </c>
      <c r="D23" s="24">
        <f>C23+11191</f>
        <v>86871</v>
      </c>
      <c r="E23" s="100">
        <f t="shared" si="0"/>
        <v>11191</v>
      </c>
      <c r="F23" s="101">
        <f t="shared" si="1"/>
        <v>1.1479</v>
      </c>
      <c r="G23" s="1">
        <v>86871</v>
      </c>
      <c r="H23" s="85">
        <f t="shared" si="2"/>
        <v>0</v>
      </c>
    </row>
    <row r="24" spans="1:8" ht="33" customHeight="1">
      <c r="A24" s="28" t="s">
        <v>13</v>
      </c>
      <c r="B24" s="76" t="s">
        <v>175</v>
      </c>
      <c r="C24" s="79">
        <v>43000</v>
      </c>
      <c r="D24" s="24">
        <f aca="true" t="shared" si="3" ref="D24:D31">C24</f>
        <v>43000</v>
      </c>
      <c r="E24" s="100" t="str">
        <f t="shared" si="0"/>
        <v>-</v>
      </c>
      <c r="F24" s="101">
        <f t="shared" si="1"/>
        <v>1</v>
      </c>
      <c r="G24" s="1">
        <v>43000</v>
      </c>
      <c r="H24" s="85">
        <f t="shared" si="2"/>
        <v>0</v>
      </c>
    </row>
    <row r="25" spans="1:8" ht="33" customHeight="1">
      <c r="A25" s="29" t="s">
        <v>14</v>
      </c>
      <c r="B25" s="76" t="s">
        <v>176</v>
      </c>
      <c r="C25" s="79">
        <v>469264</v>
      </c>
      <c r="D25" s="24">
        <f t="shared" si="3"/>
        <v>469264</v>
      </c>
      <c r="E25" s="100" t="str">
        <f t="shared" si="0"/>
        <v>-</v>
      </c>
      <c r="F25" s="101">
        <f t="shared" si="1"/>
        <v>1</v>
      </c>
      <c r="G25" s="1">
        <v>469264</v>
      </c>
      <c r="H25" s="85">
        <f t="shared" si="2"/>
        <v>0</v>
      </c>
    </row>
    <row r="26" spans="1:8" ht="31.5">
      <c r="A26" s="27" t="s">
        <v>148</v>
      </c>
      <c r="B26" s="88" t="s">
        <v>178</v>
      </c>
      <c r="C26" s="79">
        <v>467264</v>
      </c>
      <c r="D26" s="24">
        <f t="shared" si="3"/>
        <v>467264</v>
      </c>
      <c r="E26" s="100" t="str">
        <f t="shared" si="0"/>
        <v>-</v>
      </c>
      <c r="F26" s="101">
        <f t="shared" si="1"/>
        <v>1</v>
      </c>
      <c r="G26" s="1">
        <v>467264</v>
      </c>
      <c r="H26" s="85">
        <f t="shared" si="2"/>
        <v>0</v>
      </c>
    </row>
    <row r="27" spans="1:8" ht="31.5" customHeight="1">
      <c r="A27" s="77" t="s">
        <v>177</v>
      </c>
      <c r="B27" s="88" t="s">
        <v>180</v>
      </c>
      <c r="C27" s="79">
        <v>2000</v>
      </c>
      <c r="D27" s="24">
        <f t="shared" si="3"/>
        <v>2000</v>
      </c>
      <c r="E27" s="100" t="str">
        <f t="shared" si="0"/>
        <v>-</v>
      </c>
      <c r="F27" s="101">
        <f t="shared" si="1"/>
        <v>1</v>
      </c>
      <c r="G27" s="1">
        <v>2000</v>
      </c>
      <c r="H27" s="85">
        <f t="shared" si="2"/>
        <v>0</v>
      </c>
    </row>
    <row r="28" spans="1:8" ht="31.5" customHeight="1">
      <c r="A28" s="77" t="s">
        <v>181</v>
      </c>
      <c r="B28" s="88" t="s">
        <v>179</v>
      </c>
      <c r="C28" s="79">
        <v>0</v>
      </c>
      <c r="D28" s="24">
        <f t="shared" si="3"/>
        <v>0</v>
      </c>
      <c r="E28" s="100" t="str">
        <f t="shared" si="0"/>
        <v>-</v>
      </c>
      <c r="F28" s="101" t="str">
        <f t="shared" si="1"/>
        <v>-</v>
      </c>
      <c r="G28" s="1">
        <v>0</v>
      </c>
      <c r="H28" s="85">
        <f t="shared" si="2"/>
        <v>0</v>
      </c>
    </row>
    <row r="29" spans="1:8" ht="33" customHeight="1">
      <c r="A29" s="30" t="s">
        <v>15</v>
      </c>
      <c r="B29" s="35" t="s">
        <v>124</v>
      </c>
      <c r="C29" s="79">
        <v>0</v>
      </c>
      <c r="D29" s="24">
        <f t="shared" si="3"/>
        <v>0</v>
      </c>
      <c r="E29" s="100" t="str">
        <f t="shared" si="0"/>
        <v>-</v>
      </c>
      <c r="F29" s="101" t="str">
        <f t="shared" si="1"/>
        <v>-</v>
      </c>
      <c r="G29" s="1">
        <v>0</v>
      </c>
      <c r="H29" s="85">
        <f t="shared" si="2"/>
        <v>0</v>
      </c>
    </row>
    <row r="30" spans="1:8" ht="33" customHeight="1">
      <c r="A30" s="30" t="s">
        <v>121</v>
      </c>
      <c r="B30" s="39" t="s">
        <v>182</v>
      </c>
      <c r="C30" s="79">
        <v>0</v>
      </c>
      <c r="D30" s="24">
        <f t="shared" si="3"/>
        <v>0</v>
      </c>
      <c r="E30" s="100" t="str">
        <f t="shared" si="0"/>
        <v>-</v>
      </c>
      <c r="F30" s="101" t="str">
        <f t="shared" si="1"/>
        <v>-</v>
      </c>
      <c r="G30" s="1">
        <v>0</v>
      </c>
      <c r="H30" s="85">
        <f t="shared" si="2"/>
        <v>0</v>
      </c>
    </row>
    <row r="31" spans="1:8" ht="31.5" customHeight="1">
      <c r="A31" s="77" t="s">
        <v>183</v>
      </c>
      <c r="B31" s="88" t="s">
        <v>199</v>
      </c>
      <c r="C31" s="79">
        <v>0</v>
      </c>
      <c r="D31" s="24">
        <f t="shared" si="3"/>
        <v>0</v>
      </c>
      <c r="E31" s="100" t="str">
        <f t="shared" si="0"/>
        <v>-</v>
      </c>
      <c r="F31" s="101" t="str">
        <f t="shared" si="1"/>
        <v>-</v>
      </c>
      <c r="G31" s="1">
        <v>0</v>
      </c>
      <c r="H31" s="85">
        <f t="shared" si="2"/>
        <v>0</v>
      </c>
    </row>
    <row r="32" spans="1:8" ht="33" customHeight="1">
      <c r="A32" s="30" t="s">
        <v>122</v>
      </c>
      <c r="B32" s="36" t="s">
        <v>125</v>
      </c>
      <c r="C32" s="79">
        <v>223016</v>
      </c>
      <c r="D32" s="24">
        <f>C32-223016</f>
        <v>0</v>
      </c>
      <c r="E32" s="100">
        <f t="shared" si="0"/>
        <v>-223016</v>
      </c>
      <c r="F32" s="101">
        <f t="shared" si="1"/>
        <v>0</v>
      </c>
      <c r="G32" s="1">
        <v>0</v>
      </c>
      <c r="H32" s="85">
        <f t="shared" si="2"/>
        <v>0</v>
      </c>
    </row>
    <row r="33" spans="1:8" ht="33" customHeight="1">
      <c r="A33" s="30" t="s">
        <v>123</v>
      </c>
      <c r="B33" s="39" t="s">
        <v>198</v>
      </c>
      <c r="C33" s="79">
        <v>25000</v>
      </c>
      <c r="D33" s="24">
        <f>C33+11748</f>
        <v>36748</v>
      </c>
      <c r="E33" s="100">
        <f t="shared" si="0"/>
        <v>11748</v>
      </c>
      <c r="F33" s="101">
        <f t="shared" si="1"/>
        <v>1.4699</v>
      </c>
      <c r="G33" s="1">
        <v>36748</v>
      </c>
      <c r="H33" s="85">
        <f t="shared" si="2"/>
        <v>0</v>
      </c>
    </row>
    <row r="34" spans="1:8" s="4" customFormat="1" ht="31.5" customHeight="1">
      <c r="A34" s="31" t="s">
        <v>60</v>
      </c>
      <c r="B34" s="37" t="s">
        <v>61</v>
      </c>
      <c r="C34" s="82">
        <v>0</v>
      </c>
      <c r="D34" s="94">
        <f>C34</f>
        <v>0</v>
      </c>
      <c r="E34" s="14" t="str">
        <f t="shared" si="0"/>
        <v>-</v>
      </c>
      <c r="F34" s="102" t="str">
        <f t="shared" si="1"/>
        <v>-</v>
      </c>
      <c r="G34" s="4">
        <v>0</v>
      </c>
      <c r="H34" s="85">
        <f t="shared" si="2"/>
        <v>0</v>
      </c>
    </row>
    <row r="35" spans="1:8" s="4" customFormat="1" ht="31.5" customHeight="1">
      <c r="A35" s="31" t="s">
        <v>59</v>
      </c>
      <c r="B35" s="37" t="s">
        <v>62</v>
      </c>
      <c r="C35" s="82">
        <v>112907</v>
      </c>
      <c r="D35" s="95">
        <f>C35</f>
        <v>112907</v>
      </c>
      <c r="E35" s="14" t="str">
        <f t="shared" si="0"/>
        <v>-</v>
      </c>
      <c r="F35" s="102">
        <f t="shared" si="1"/>
        <v>1</v>
      </c>
      <c r="G35" s="4">
        <v>112907</v>
      </c>
      <c r="H35" s="85">
        <f t="shared" si="2"/>
        <v>0</v>
      </c>
    </row>
    <row r="36" spans="1:8" s="4" customFormat="1" ht="42.75" customHeight="1">
      <c r="A36" s="31" t="s">
        <v>184</v>
      </c>
      <c r="B36" s="37" t="s">
        <v>185</v>
      </c>
      <c r="C36" s="82">
        <f>C12+C14+C25+C31</f>
        <v>584203</v>
      </c>
      <c r="D36" s="82">
        <f>D12+D14+D25+D31</f>
        <v>599946</v>
      </c>
      <c r="E36" s="14">
        <f t="shared" si="0"/>
        <v>15743</v>
      </c>
      <c r="F36" s="102">
        <f t="shared" si="1"/>
        <v>1.0269</v>
      </c>
      <c r="G36" s="4">
        <v>599946</v>
      </c>
      <c r="H36" s="85">
        <f t="shared" si="2"/>
        <v>0</v>
      </c>
    </row>
    <row r="37" spans="1:6" s="2" customFormat="1" ht="30" customHeight="1">
      <c r="A37" s="25" t="s">
        <v>16</v>
      </c>
      <c r="B37" s="44" t="s">
        <v>195</v>
      </c>
      <c r="C37" s="23">
        <f>C38+C39+C40+C48+C50+C56+C57+C55</f>
        <v>24703</v>
      </c>
      <c r="D37" s="23">
        <f>D38+D39+D40+D48+D50+D56+D57+D55</f>
        <v>24703</v>
      </c>
      <c r="E37" s="12" t="str">
        <f t="shared" si="0"/>
        <v>-</v>
      </c>
      <c r="F37" s="103">
        <f t="shared" si="1"/>
        <v>1</v>
      </c>
    </row>
    <row r="38" spans="1:6" ht="28.5" customHeight="1">
      <c r="A38" s="30" t="s">
        <v>17</v>
      </c>
      <c r="B38" s="39" t="s">
        <v>18</v>
      </c>
      <c r="C38" s="79">
        <v>783</v>
      </c>
      <c r="D38" s="83">
        <f>C38</f>
        <v>783</v>
      </c>
      <c r="E38" s="100" t="str">
        <f t="shared" si="0"/>
        <v>-</v>
      </c>
      <c r="F38" s="101">
        <f t="shared" si="1"/>
        <v>1</v>
      </c>
    </row>
    <row r="39" spans="1:6" ht="28.5" customHeight="1">
      <c r="A39" s="30" t="s">
        <v>19</v>
      </c>
      <c r="B39" s="39" t="s">
        <v>20</v>
      </c>
      <c r="C39" s="79">
        <v>3017</v>
      </c>
      <c r="D39" s="83">
        <f>C39</f>
        <v>3017</v>
      </c>
      <c r="E39" s="100" t="str">
        <f t="shared" si="0"/>
        <v>-</v>
      </c>
      <c r="F39" s="101">
        <f t="shared" si="1"/>
        <v>1</v>
      </c>
    </row>
    <row r="40" spans="1:6" ht="28.5" customHeight="1">
      <c r="A40" s="30" t="s">
        <v>21</v>
      </c>
      <c r="B40" s="40" t="s">
        <v>32</v>
      </c>
      <c r="C40" s="93">
        <f>C41+C43+C44+C45+C46+C47</f>
        <v>232</v>
      </c>
      <c r="D40" s="83">
        <f>D41+D43+D44+D45+D46+D47</f>
        <v>232</v>
      </c>
      <c r="E40" s="100" t="str">
        <f t="shared" si="0"/>
        <v>-</v>
      </c>
      <c r="F40" s="101">
        <f t="shared" si="1"/>
        <v>1</v>
      </c>
    </row>
    <row r="41" spans="1:6" ht="28.5" customHeight="1">
      <c r="A41" s="41" t="s">
        <v>40</v>
      </c>
      <c r="B41" s="42" t="s">
        <v>33</v>
      </c>
      <c r="C41" s="79">
        <v>28</v>
      </c>
      <c r="D41" s="83">
        <f>C41</f>
        <v>28</v>
      </c>
      <c r="E41" s="100" t="str">
        <f t="shared" si="0"/>
        <v>-</v>
      </c>
      <c r="F41" s="101">
        <f t="shared" si="1"/>
        <v>1</v>
      </c>
    </row>
    <row r="42" spans="1:6" ht="28.5" customHeight="1">
      <c r="A42" s="41" t="s">
        <v>41</v>
      </c>
      <c r="B42" s="43" t="s">
        <v>34</v>
      </c>
      <c r="C42" s="79">
        <v>28</v>
      </c>
      <c r="D42" s="83">
        <f aca="true" t="shared" si="4" ref="D42:D61">C42</f>
        <v>28</v>
      </c>
      <c r="E42" s="100" t="str">
        <f t="shared" si="0"/>
        <v>-</v>
      </c>
      <c r="F42" s="101">
        <f t="shared" si="1"/>
        <v>1</v>
      </c>
    </row>
    <row r="43" spans="1:6" ht="28.5" customHeight="1">
      <c r="A43" s="41" t="s">
        <v>42</v>
      </c>
      <c r="B43" s="42" t="s">
        <v>35</v>
      </c>
      <c r="C43" s="79">
        <v>0</v>
      </c>
      <c r="D43" s="83">
        <f t="shared" si="4"/>
        <v>0</v>
      </c>
      <c r="E43" s="100" t="str">
        <f t="shared" si="0"/>
        <v>-</v>
      </c>
      <c r="F43" s="101" t="str">
        <f t="shared" si="1"/>
        <v>-</v>
      </c>
    </row>
    <row r="44" spans="1:6" ht="28.5" customHeight="1">
      <c r="A44" s="41" t="s">
        <v>43</v>
      </c>
      <c r="B44" s="42" t="s">
        <v>36</v>
      </c>
      <c r="C44" s="79">
        <v>0</v>
      </c>
      <c r="D44" s="83">
        <f t="shared" si="4"/>
        <v>0</v>
      </c>
      <c r="E44" s="100" t="str">
        <f t="shared" si="0"/>
        <v>-</v>
      </c>
      <c r="F44" s="101" t="str">
        <f t="shared" si="1"/>
        <v>-</v>
      </c>
    </row>
    <row r="45" spans="1:6" ht="28.5" customHeight="1">
      <c r="A45" s="41" t="s">
        <v>44</v>
      </c>
      <c r="B45" s="42" t="s">
        <v>37</v>
      </c>
      <c r="C45" s="79">
        <v>0</v>
      </c>
      <c r="D45" s="83">
        <f t="shared" si="4"/>
        <v>0</v>
      </c>
      <c r="E45" s="100" t="str">
        <f t="shared" si="0"/>
        <v>-</v>
      </c>
      <c r="F45" s="101" t="str">
        <f t="shared" si="1"/>
        <v>-</v>
      </c>
    </row>
    <row r="46" spans="1:6" ht="28.5" customHeight="1">
      <c r="A46" s="41" t="s">
        <v>45</v>
      </c>
      <c r="B46" s="42" t="s">
        <v>38</v>
      </c>
      <c r="C46" s="79">
        <v>196</v>
      </c>
      <c r="D46" s="83">
        <f t="shared" si="4"/>
        <v>196</v>
      </c>
      <c r="E46" s="100" t="str">
        <f t="shared" si="0"/>
        <v>-</v>
      </c>
      <c r="F46" s="101">
        <f t="shared" si="1"/>
        <v>1</v>
      </c>
    </row>
    <row r="47" spans="1:6" ht="28.5" customHeight="1">
      <c r="A47" s="41" t="s">
        <v>46</v>
      </c>
      <c r="B47" s="42" t="s">
        <v>39</v>
      </c>
      <c r="C47" s="79">
        <v>8</v>
      </c>
      <c r="D47" s="83">
        <f>C47</f>
        <v>8</v>
      </c>
      <c r="E47" s="100" t="str">
        <f t="shared" si="0"/>
        <v>-</v>
      </c>
      <c r="F47" s="101">
        <f t="shared" si="1"/>
        <v>1</v>
      </c>
    </row>
    <row r="48" spans="1:6" ht="28.5" customHeight="1">
      <c r="A48" s="30" t="s">
        <v>22</v>
      </c>
      <c r="B48" s="39" t="s">
        <v>186</v>
      </c>
      <c r="C48" s="79">
        <v>14598</v>
      </c>
      <c r="D48" s="83">
        <f>C48</f>
        <v>14598</v>
      </c>
      <c r="E48" s="100" t="str">
        <f t="shared" si="0"/>
        <v>-</v>
      </c>
      <c r="F48" s="101">
        <f t="shared" si="1"/>
        <v>1</v>
      </c>
    </row>
    <row r="49" spans="1:6" ht="28.5" customHeight="1">
      <c r="A49" s="41" t="s">
        <v>187</v>
      </c>
      <c r="B49" s="42" t="s">
        <v>188</v>
      </c>
      <c r="C49" s="79">
        <v>144</v>
      </c>
      <c r="D49" s="83">
        <f>C49</f>
        <v>144</v>
      </c>
      <c r="E49" s="100" t="str">
        <f t="shared" si="0"/>
        <v>-</v>
      </c>
      <c r="F49" s="101">
        <f t="shared" si="1"/>
        <v>1</v>
      </c>
    </row>
    <row r="50" spans="1:6" ht="28.5" customHeight="1">
      <c r="A50" s="30" t="s">
        <v>23</v>
      </c>
      <c r="B50" s="40" t="s">
        <v>55</v>
      </c>
      <c r="C50" s="93">
        <f>C51+C52+C53+C54</f>
        <v>3236</v>
      </c>
      <c r="D50" s="83">
        <f>D51+D52+D53+D54</f>
        <v>3236</v>
      </c>
      <c r="E50" s="100" t="str">
        <f t="shared" si="0"/>
        <v>-</v>
      </c>
      <c r="F50" s="101">
        <f t="shared" si="1"/>
        <v>1</v>
      </c>
    </row>
    <row r="51" spans="1:6" ht="28.5" customHeight="1">
      <c r="A51" s="41" t="s">
        <v>51</v>
      </c>
      <c r="B51" s="42" t="s">
        <v>47</v>
      </c>
      <c r="C51" s="83">
        <v>2509</v>
      </c>
      <c r="D51" s="83">
        <f t="shared" si="4"/>
        <v>2509</v>
      </c>
      <c r="E51" s="100" t="str">
        <f t="shared" si="0"/>
        <v>-</v>
      </c>
      <c r="F51" s="101">
        <f t="shared" si="1"/>
        <v>1</v>
      </c>
    </row>
    <row r="52" spans="1:6" ht="28.5" customHeight="1">
      <c r="A52" s="41" t="s">
        <v>52</v>
      </c>
      <c r="B52" s="42" t="s">
        <v>48</v>
      </c>
      <c r="C52" s="83">
        <v>358</v>
      </c>
      <c r="D52" s="83">
        <f t="shared" si="4"/>
        <v>358</v>
      </c>
      <c r="E52" s="100" t="str">
        <f t="shared" si="0"/>
        <v>-</v>
      </c>
      <c r="F52" s="101">
        <f t="shared" si="1"/>
        <v>1</v>
      </c>
    </row>
    <row r="53" spans="1:6" ht="28.5" customHeight="1">
      <c r="A53" s="41" t="s">
        <v>53</v>
      </c>
      <c r="B53" s="42" t="s">
        <v>49</v>
      </c>
      <c r="C53" s="83">
        <v>0</v>
      </c>
      <c r="D53" s="83">
        <f t="shared" si="4"/>
        <v>0</v>
      </c>
      <c r="E53" s="100" t="str">
        <f t="shared" si="0"/>
        <v>-</v>
      </c>
      <c r="F53" s="101" t="str">
        <f t="shared" si="1"/>
        <v>-</v>
      </c>
    </row>
    <row r="54" spans="1:6" ht="28.5" customHeight="1">
      <c r="A54" s="41" t="s">
        <v>54</v>
      </c>
      <c r="B54" s="42" t="s">
        <v>50</v>
      </c>
      <c r="C54" s="83">
        <v>369</v>
      </c>
      <c r="D54" s="83">
        <f t="shared" si="4"/>
        <v>369</v>
      </c>
      <c r="E54" s="100" t="str">
        <f t="shared" si="0"/>
        <v>-</v>
      </c>
      <c r="F54" s="101">
        <f t="shared" si="1"/>
        <v>1</v>
      </c>
    </row>
    <row r="55" spans="1:6" ht="28.5" customHeight="1">
      <c r="A55" s="30" t="s">
        <v>24</v>
      </c>
      <c r="B55" s="39" t="s">
        <v>25</v>
      </c>
      <c r="C55" s="79">
        <v>0</v>
      </c>
      <c r="D55" s="83">
        <f>C55</f>
        <v>0</v>
      </c>
      <c r="E55" s="100" t="str">
        <f t="shared" si="0"/>
        <v>-</v>
      </c>
      <c r="F55" s="101" t="str">
        <f t="shared" si="1"/>
        <v>-</v>
      </c>
    </row>
    <row r="56" spans="1:6" ht="28.5" customHeight="1">
      <c r="A56" s="30" t="s">
        <v>26</v>
      </c>
      <c r="B56" s="39" t="s">
        <v>189</v>
      </c>
      <c r="C56" s="79">
        <v>2500</v>
      </c>
      <c r="D56" s="83">
        <f>C56</f>
        <v>2500</v>
      </c>
      <c r="E56" s="100" t="str">
        <f t="shared" si="0"/>
        <v>-</v>
      </c>
      <c r="F56" s="104">
        <f t="shared" si="1"/>
        <v>1</v>
      </c>
    </row>
    <row r="57" spans="1:6" ht="28.5" customHeight="1">
      <c r="A57" s="30" t="s">
        <v>27</v>
      </c>
      <c r="B57" s="39" t="s">
        <v>28</v>
      </c>
      <c r="C57" s="79">
        <v>337</v>
      </c>
      <c r="D57" s="83">
        <f>C57</f>
        <v>337</v>
      </c>
      <c r="E57" s="100" t="str">
        <f t="shared" si="0"/>
        <v>-</v>
      </c>
      <c r="F57" s="101">
        <f t="shared" si="1"/>
        <v>1</v>
      </c>
    </row>
    <row r="58" spans="1:6" s="2" customFormat="1" ht="30" customHeight="1">
      <c r="A58" s="32" t="s">
        <v>29</v>
      </c>
      <c r="B58" s="44" t="s">
        <v>190</v>
      </c>
      <c r="C58" s="81">
        <f>C59+C60+C61+C62</f>
        <v>23453</v>
      </c>
      <c r="D58" s="26">
        <f>D59+D60+D61+D62</f>
        <v>23453</v>
      </c>
      <c r="E58" s="12" t="str">
        <f t="shared" si="0"/>
        <v>-</v>
      </c>
      <c r="F58" s="105">
        <f t="shared" si="1"/>
        <v>1</v>
      </c>
    </row>
    <row r="59" spans="1:6" ht="42" customHeight="1">
      <c r="A59" s="30" t="s">
        <v>104</v>
      </c>
      <c r="B59" s="39" t="s">
        <v>126</v>
      </c>
      <c r="C59" s="79">
        <v>10</v>
      </c>
      <c r="D59" s="83">
        <f t="shared" si="4"/>
        <v>10</v>
      </c>
      <c r="E59" s="75" t="str">
        <f t="shared" si="0"/>
        <v>-</v>
      </c>
      <c r="F59" s="101">
        <f t="shared" si="1"/>
        <v>1</v>
      </c>
    </row>
    <row r="60" spans="1:6" ht="31.5" customHeight="1">
      <c r="A60" s="30" t="s">
        <v>30</v>
      </c>
      <c r="B60" s="39" t="s">
        <v>57</v>
      </c>
      <c r="C60" s="79">
        <v>21443</v>
      </c>
      <c r="D60" s="83">
        <f t="shared" si="4"/>
        <v>21443</v>
      </c>
      <c r="E60" s="75" t="str">
        <f t="shared" si="0"/>
        <v>-</v>
      </c>
      <c r="F60" s="101">
        <f t="shared" si="1"/>
        <v>1</v>
      </c>
    </row>
    <row r="61" spans="1:6" ht="31.5" customHeight="1">
      <c r="A61" s="30" t="s">
        <v>31</v>
      </c>
      <c r="B61" s="39" t="s">
        <v>106</v>
      </c>
      <c r="C61" s="79">
        <v>0</v>
      </c>
      <c r="D61" s="83">
        <f t="shared" si="4"/>
        <v>0</v>
      </c>
      <c r="E61" s="75" t="str">
        <f t="shared" si="0"/>
        <v>-</v>
      </c>
      <c r="F61" s="101" t="str">
        <f t="shared" si="1"/>
        <v>-</v>
      </c>
    </row>
    <row r="62" spans="1:6" ht="31.5" customHeight="1">
      <c r="A62" s="30" t="s">
        <v>105</v>
      </c>
      <c r="B62" s="39" t="s">
        <v>107</v>
      </c>
      <c r="C62" s="79">
        <v>2000</v>
      </c>
      <c r="D62" s="83">
        <f>C62</f>
        <v>2000</v>
      </c>
      <c r="E62" s="75" t="str">
        <f t="shared" si="0"/>
        <v>-</v>
      </c>
      <c r="F62" s="101">
        <f t="shared" si="1"/>
        <v>1</v>
      </c>
    </row>
    <row r="63" spans="1:6" ht="32.25" customHeight="1">
      <c r="A63" s="32" t="s">
        <v>112</v>
      </c>
      <c r="B63" s="44" t="s">
        <v>133</v>
      </c>
      <c r="C63" s="81">
        <v>6094</v>
      </c>
      <c r="D63" s="26">
        <f>C63</f>
        <v>6094</v>
      </c>
      <c r="E63" s="12" t="str">
        <f t="shared" si="0"/>
        <v>-</v>
      </c>
      <c r="F63" s="105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63"/>
  <sheetViews>
    <sheetView showGridLines="0" view="pageBreakPreview" zoomScale="55" zoomScaleNormal="70" zoomScaleSheetLayoutView="55" zoomScalePageLayoutView="0" workbookViewId="0" topLeftCell="A1">
      <pane xSplit="2" ySplit="7" topLeftCell="C20" activePane="bottomRight" state="frozen"/>
      <selection pane="topLeft" activeCell="A2" sqref="A2:B2"/>
      <selection pane="topRight" activeCell="A2" sqref="A2:B2"/>
      <selection pane="bottomLeft" activeCell="A2" sqref="A2:B2"/>
      <selection pane="bottomRight" activeCell="A2" sqref="A2:B2"/>
    </sheetView>
  </sheetViews>
  <sheetFormatPr defaultColWidth="9.00390625" defaultRowHeight="12.75"/>
  <cols>
    <col min="1" max="1" width="9.125" style="1" customWidth="1"/>
    <col min="2" max="2" width="125.875" style="1" customWidth="1"/>
    <col min="3" max="3" width="25.75390625" style="1" customWidth="1"/>
    <col min="4" max="4" width="26.875" style="1" customWidth="1"/>
    <col min="5" max="6" width="20.75390625" style="1" customWidth="1"/>
    <col min="7" max="7" width="9.125" style="1" customWidth="1"/>
    <col min="8" max="8" width="9.375" style="1" bestFit="1" customWidth="1"/>
    <col min="9" max="16384" width="9.125" style="1" customWidth="1"/>
  </cols>
  <sheetData>
    <row r="1" spans="1:6" s="47" customFormat="1" ht="54.75" customHeight="1">
      <c r="A1" s="119" t="str">
        <f>NFZ!A1</f>
        <v>URUCHOMIENIE REZERWY NA KOSZTY ŚWIADCZEŃ OPIEKI ZDROWOTNEJ W RAMACH MIGRACJI UBEZPIECZONYCH Z DNIA 30 SIERPNIA 2012 R. W PLANIE FINANSOWYM NARODOWEGO FUNDUSZU ZDROWIA NA 2013 ROK</v>
      </c>
      <c r="B1" s="119"/>
      <c r="C1" s="119"/>
      <c r="D1" s="119"/>
      <c r="E1" s="119"/>
      <c r="F1" s="119"/>
    </row>
    <row r="2" spans="1:3" s="49" customFormat="1" ht="33" customHeight="1">
      <c r="A2" s="87" t="s">
        <v>66</v>
      </c>
      <c r="B2" s="87"/>
      <c r="C2" s="96"/>
    </row>
    <row r="3" spans="1:6" ht="33" customHeight="1">
      <c r="A3" s="7"/>
      <c r="B3" s="8"/>
      <c r="C3" s="86"/>
      <c r="D3" s="86"/>
      <c r="E3" s="86" t="s">
        <v>166</v>
      </c>
      <c r="F3" s="9"/>
    </row>
    <row r="4" spans="1:6" s="5" customFormat="1" ht="45" customHeight="1">
      <c r="A4" s="114" t="s">
        <v>137</v>
      </c>
      <c r="B4" s="114" t="s">
        <v>56</v>
      </c>
      <c r="C4" s="115" t="s">
        <v>206</v>
      </c>
      <c r="D4" s="115" t="s">
        <v>203</v>
      </c>
      <c r="E4" s="118" t="s">
        <v>204</v>
      </c>
      <c r="F4" s="118" t="s">
        <v>205</v>
      </c>
    </row>
    <row r="5" spans="1:6" s="5" customFormat="1" ht="45" customHeight="1">
      <c r="A5" s="114"/>
      <c r="B5" s="114"/>
      <c r="C5" s="116"/>
      <c r="D5" s="116"/>
      <c r="E5" s="118"/>
      <c r="F5" s="118"/>
    </row>
    <row r="6" spans="1:6" s="3" customFormat="1" ht="14.25">
      <c r="A6" s="46">
        <v>1</v>
      </c>
      <c r="B6" s="51">
        <v>2</v>
      </c>
      <c r="C6" s="46">
        <v>3</v>
      </c>
      <c r="D6" s="51">
        <v>4</v>
      </c>
      <c r="E6" s="46">
        <v>5</v>
      </c>
      <c r="F6" s="51">
        <v>6</v>
      </c>
    </row>
    <row r="7" spans="1:6" s="2" customFormat="1" ht="30" customHeight="1">
      <c r="A7" s="22" t="s">
        <v>0</v>
      </c>
      <c r="B7" s="38" t="s">
        <v>174</v>
      </c>
      <c r="C7" s="97">
        <f>C8+C9+C10+C15+C16+C17+C18+C19+C20+C21+C22+C23+C24+C25+C29+C30+C32+C33</f>
        <v>1660371</v>
      </c>
      <c r="D7" s="15">
        <f>D8+D9+D10+D15+D16+D17+D18+D19+D20+D21+D22+D23+D24+D25+D29+D30+D32+D33</f>
        <v>1660371</v>
      </c>
      <c r="E7" s="12" t="str">
        <f>IF(C7=D7,"-",D7-C7)</f>
        <v>-</v>
      </c>
      <c r="F7" s="99">
        <f>IF(C7=0,"-",D7/C7)</f>
        <v>1</v>
      </c>
    </row>
    <row r="8" spans="1:8" ht="33" customHeight="1">
      <c r="A8" s="28" t="s">
        <v>1</v>
      </c>
      <c r="B8" s="76" t="s">
        <v>138</v>
      </c>
      <c r="C8" s="79">
        <v>201280</v>
      </c>
      <c r="D8" s="24">
        <f>C8</f>
        <v>201280</v>
      </c>
      <c r="E8" s="100" t="str">
        <f aca="true" t="shared" si="0" ref="E8:E63">IF(C8=D8,"-",D8-C8)</f>
        <v>-</v>
      </c>
      <c r="F8" s="101">
        <f aca="true" t="shared" si="1" ref="F8:F63">IF(C8=0,"-",D8/C8)</f>
        <v>1</v>
      </c>
      <c r="G8" s="1">
        <v>201280</v>
      </c>
      <c r="H8" s="85">
        <f>D8-G8</f>
        <v>0</v>
      </c>
    </row>
    <row r="9" spans="1:8" ht="33" customHeight="1">
      <c r="A9" s="28" t="s">
        <v>2</v>
      </c>
      <c r="B9" s="76" t="s">
        <v>139</v>
      </c>
      <c r="C9" s="79">
        <v>139000</v>
      </c>
      <c r="D9" s="24">
        <f>C9+8486</f>
        <v>147486</v>
      </c>
      <c r="E9" s="100">
        <f t="shared" si="0"/>
        <v>8486</v>
      </c>
      <c r="F9" s="101">
        <f t="shared" si="1"/>
        <v>1.0611</v>
      </c>
      <c r="G9" s="1">
        <v>147486</v>
      </c>
      <c r="H9" s="85">
        <f aca="true" t="shared" si="2" ref="H9:H36">D9-G9</f>
        <v>0</v>
      </c>
    </row>
    <row r="10" spans="1:8" ht="33" customHeight="1">
      <c r="A10" s="28" t="s">
        <v>3</v>
      </c>
      <c r="B10" s="76" t="s">
        <v>136</v>
      </c>
      <c r="C10" s="79">
        <v>643179</v>
      </c>
      <c r="D10" s="24">
        <f>C10+131035+1036+14114+6075+6940</f>
        <v>802379</v>
      </c>
      <c r="E10" s="100">
        <f t="shared" si="0"/>
        <v>159200</v>
      </c>
      <c r="F10" s="101">
        <f t="shared" si="1"/>
        <v>1.2475</v>
      </c>
      <c r="G10" s="1">
        <v>802379</v>
      </c>
      <c r="H10" s="85">
        <f t="shared" si="2"/>
        <v>0</v>
      </c>
    </row>
    <row r="11" spans="1:8" ht="31.5" customHeight="1">
      <c r="A11" s="77" t="s">
        <v>58</v>
      </c>
      <c r="B11" s="88" t="s">
        <v>167</v>
      </c>
      <c r="C11" s="79">
        <v>43380</v>
      </c>
      <c r="D11" s="24">
        <f>C11+1036+14114</f>
        <v>58530</v>
      </c>
      <c r="E11" s="100">
        <f t="shared" si="0"/>
        <v>15150</v>
      </c>
      <c r="F11" s="101">
        <f t="shared" si="1"/>
        <v>1.3492</v>
      </c>
      <c r="G11" s="1">
        <v>58530</v>
      </c>
      <c r="H11" s="85">
        <f t="shared" si="2"/>
        <v>0</v>
      </c>
    </row>
    <row r="12" spans="1:8" ht="31.5" customHeight="1">
      <c r="A12" s="77" t="s">
        <v>168</v>
      </c>
      <c r="B12" s="88" t="s">
        <v>171</v>
      </c>
      <c r="C12" s="79">
        <v>40100</v>
      </c>
      <c r="D12" s="24">
        <f>C12+14114</f>
        <v>54214</v>
      </c>
      <c r="E12" s="100">
        <f t="shared" si="0"/>
        <v>14114</v>
      </c>
      <c r="F12" s="101">
        <f t="shared" si="1"/>
        <v>1.352</v>
      </c>
      <c r="G12" s="1">
        <v>54214</v>
      </c>
      <c r="H12" s="85">
        <f t="shared" si="2"/>
        <v>0</v>
      </c>
    </row>
    <row r="13" spans="1:8" ht="31.5" customHeight="1">
      <c r="A13" s="77" t="s">
        <v>169</v>
      </c>
      <c r="B13" s="88" t="s">
        <v>172</v>
      </c>
      <c r="C13" s="79">
        <v>26920</v>
      </c>
      <c r="D13" s="24">
        <f>C13+6075+6940</f>
        <v>39935</v>
      </c>
      <c r="E13" s="100">
        <f t="shared" si="0"/>
        <v>13015</v>
      </c>
      <c r="F13" s="101">
        <f t="shared" si="1"/>
        <v>1.4835</v>
      </c>
      <c r="G13" s="1">
        <v>39935</v>
      </c>
      <c r="H13" s="85">
        <f t="shared" si="2"/>
        <v>0</v>
      </c>
    </row>
    <row r="14" spans="1:8" ht="31.5" customHeight="1">
      <c r="A14" s="77" t="s">
        <v>170</v>
      </c>
      <c r="B14" s="88" t="s">
        <v>173</v>
      </c>
      <c r="C14" s="79">
        <v>8200</v>
      </c>
      <c r="D14" s="24">
        <f>C14+6940</f>
        <v>15140</v>
      </c>
      <c r="E14" s="100">
        <f t="shared" si="0"/>
        <v>6940</v>
      </c>
      <c r="F14" s="101">
        <f t="shared" si="1"/>
        <v>1.8463</v>
      </c>
      <c r="G14" s="1">
        <v>15140</v>
      </c>
      <c r="H14" s="85">
        <f t="shared" si="2"/>
        <v>0</v>
      </c>
    </row>
    <row r="15" spans="1:8" ht="33" customHeight="1">
      <c r="A15" s="28" t="s">
        <v>4</v>
      </c>
      <c r="B15" s="76" t="s">
        <v>144</v>
      </c>
      <c r="C15" s="79">
        <v>75500</v>
      </c>
      <c r="D15" s="24">
        <f>C15+9304</f>
        <v>84804</v>
      </c>
      <c r="E15" s="100">
        <f t="shared" si="0"/>
        <v>9304</v>
      </c>
      <c r="F15" s="101">
        <f t="shared" si="1"/>
        <v>1.1232</v>
      </c>
      <c r="G15" s="1">
        <v>84804</v>
      </c>
      <c r="H15" s="85">
        <f t="shared" si="2"/>
        <v>0</v>
      </c>
    </row>
    <row r="16" spans="1:8" ht="33" customHeight="1">
      <c r="A16" s="28" t="s">
        <v>5</v>
      </c>
      <c r="B16" s="76" t="s">
        <v>140</v>
      </c>
      <c r="C16" s="79">
        <v>45000</v>
      </c>
      <c r="D16" s="24">
        <f>C16+4394</f>
        <v>49394</v>
      </c>
      <c r="E16" s="100">
        <f t="shared" si="0"/>
        <v>4394</v>
      </c>
      <c r="F16" s="101">
        <f t="shared" si="1"/>
        <v>1.0976</v>
      </c>
      <c r="G16" s="1">
        <v>49394</v>
      </c>
      <c r="H16" s="85">
        <f t="shared" si="2"/>
        <v>0</v>
      </c>
    </row>
    <row r="17" spans="1:8" ht="33" customHeight="1">
      <c r="A17" s="28" t="s">
        <v>6</v>
      </c>
      <c r="B17" s="76" t="s">
        <v>146</v>
      </c>
      <c r="C17" s="79">
        <v>20500</v>
      </c>
      <c r="D17" s="24">
        <f>C17+1599</f>
        <v>22099</v>
      </c>
      <c r="E17" s="100">
        <f t="shared" si="0"/>
        <v>1599</v>
      </c>
      <c r="F17" s="101">
        <f t="shared" si="1"/>
        <v>1.078</v>
      </c>
      <c r="G17" s="1">
        <v>22099</v>
      </c>
      <c r="H17" s="85">
        <f t="shared" si="2"/>
        <v>0</v>
      </c>
    </row>
    <row r="18" spans="1:8" ht="33" customHeight="1">
      <c r="A18" s="28" t="s">
        <v>7</v>
      </c>
      <c r="B18" s="76" t="s">
        <v>145</v>
      </c>
      <c r="C18" s="79">
        <v>8800</v>
      </c>
      <c r="D18" s="24">
        <f>C18+706</f>
        <v>9506</v>
      </c>
      <c r="E18" s="100">
        <f t="shared" si="0"/>
        <v>706</v>
      </c>
      <c r="F18" s="101">
        <f t="shared" si="1"/>
        <v>1.0802</v>
      </c>
      <c r="G18" s="1">
        <v>9506</v>
      </c>
      <c r="H18" s="85">
        <f t="shared" si="2"/>
        <v>0</v>
      </c>
    </row>
    <row r="19" spans="1:8" ht="33" customHeight="1">
      <c r="A19" s="28" t="s">
        <v>8</v>
      </c>
      <c r="B19" s="76" t="s">
        <v>141</v>
      </c>
      <c r="C19" s="79">
        <v>43300</v>
      </c>
      <c r="D19" s="24">
        <f>C19+1948</f>
        <v>45248</v>
      </c>
      <c r="E19" s="100">
        <f t="shared" si="0"/>
        <v>1948</v>
      </c>
      <c r="F19" s="101">
        <f t="shared" si="1"/>
        <v>1.045</v>
      </c>
      <c r="G19" s="1">
        <v>45248</v>
      </c>
      <c r="H19" s="85">
        <f t="shared" si="2"/>
        <v>0</v>
      </c>
    </row>
    <row r="20" spans="1:8" ht="33" customHeight="1">
      <c r="A20" s="28" t="s">
        <v>9</v>
      </c>
      <c r="B20" s="76" t="s">
        <v>142</v>
      </c>
      <c r="C20" s="79">
        <v>13000</v>
      </c>
      <c r="D20" s="24">
        <f>C20</f>
        <v>13000</v>
      </c>
      <c r="E20" s="100" t="str">
        <f t="shared" si="0"/>
        <v>-</v>
      </c>
      <c r="F20" s="101">
        <f t="shared" si="1"/>
        <v>1</v>
      </c>
      <c r="G20" s="1">
        <v>13000</v>
      </c>
      <c r="H20" s="85">
        <f t="shared" si="2"/>
        <v>0</v>
      </c>
    </row>
    <row r="21" spans="1:8" ht="33" customHeight="1">
      <c r="A21" s="28" t="s">
        <v>10</v>
      </c>
      <c r="B21" s="76" t="s">
        <v>147</v>
      </c>
      <c r="C21" s="79">
        <v>2520</v>
      </c>
      <c r="D21" s="24">
        <f>C21</f>
        <v>2520</v>
      </c>
      <c r="E21" s="100" t="str">
        <f t="shared" si="0"/>
        <v>-</v>
      </c>
      <c r="F21" s="101">
        <f t="shared" si="1"/>
        <v>1</v>
      </c>
      <c r="G21" s="1">
        <v>2520</v>
      </c>
      <c r="H21" s="85">
        <f t="shared" si="2"/>
        <v>0</v>
      </c>
    </row>
    <row r="22" spans="1:8" ht="46.5" customHeight="1">
      <c r="A22" s="28" t="s">
        <v>11</v>
      </c>
      <c r="B22" s="76" t="s">
        <v>143</v>
      </c>
      <c r="C22" s="79">
        <v>5100</v>
      </c>
      <c r="D22" s="24">
        <f>C22+187</f>
        <v>5287</v>
      </c>
      <c r="E22" s="100">
        <f t="shared" si="0"/>
        <v>187</v>
      </c>
      <c r="F22" s="101">
        <f t="shared" si="1"/>
        <v>1.0367</v>
      </c>
      <c r="G22" s="1">
        <v>5287</v>
      </c>
      <c r="H22" s="85">
        <f t="shared" si="2"/>
        <v>0</v>
      </c>
    </row>
    <row r="23" spans="1:8" ht="33" customHeight="1">
      <c r="A23" s="28" t="s">
        <v>12</v>
      </c>
      <c r="B23" s="76" t="s">
        <v>197</v>
      </c>
      <c r="C23" s="79">
        <v>36000</v>
      </c>
      <c r="D23" s="24">
        <f>C23+7256</f>
        <v>43256</v>
      </c>
      <c r="E23" s="100">
        <f t="shared" si="0"/>
        <v>7256</v>
      </c>
      <c r="F23" s="101">
        <f t="shared" si="1"/>
        <v>1.2016</v>
      </c>
      <c r="G23" s="1">
        <v>43256</v>
      </c>
      <c r="H23" s="85">
        <f t="shared" si="2"/>
        <v>0</v>
      </c>
    </row>
    <row r="24" spans="1:8" ht="33" customHeight="1">
      <c r="A24" s="28" t="s">
        <v>13</v>
      </c>
      <c r="B24" s="76" t="s">
        <v>175</v>
      </c>
      <c r="C24" s="79">
        <v>26000</v>
      </c>
      <c r="D24" s="24">
        <f aca="true" t="shared" si="3" ref="D24:D31">C24</f>
        <v>26000</v>
      </c>
      <c r="E24" s="100" t="str">
        <f t="shared" si="0"/>
        <v>-</v>
      </c>
      <c r="F24" s="101">
        <f t="shared" si="1"/>
        <v>1</v>
      </c>
      <c r="G24" s="1">
        <v>26000</v>
      </c>
      <c r="H24" s="85">
        <f t="shared" si="2"/>
        <v>0</v>
      </c>
    </row>
    <row r="25" spans="1:8" ht="33" customHeight="1">
      <c r="A25" s="29" t="s">
        <v>14</v>
      </c>
      <c r="B25" s="76" t="s">
        <v>176</v>
      </c>
      <c r="C25" s="79">
        <v>185110</v>
      </c>
      <c r="D25" s="24">
        <f t="shared" si="3"/>
        <v>185110</v>
      </c>
      <c r="E25" s="100" t="str">
        <f t="shared" si="0"/>
        <v>-</v>
      </c>
      <c r="F25" s="101">
        <f t="shared" si="1"/>
        <v>1</v>
      </c>
      <c r="G25" s="1">
        <v>185110</v>
      </c>
      <c r="H25" s="85">
        <f t="shared" si="2"/>
        <v>0</v>
      </c>
    </row>
    <row r="26" spans="1:8" ht="31.5">
      <c r="A26" s="27" t="s">
        <v>148</v>
      </c>
      <c r="B26" s="88" t="s">
        <v>178</v>
      </c>
      <c r="C26" s="79">
        <v>184974</v>
      </c>
      <c r="D26" s="24">
        <f t="shared" si="3"/>
        <v>184974</v>
      </c>
      <c r="E26" s="100" t="str">
        <f t="shared" si="0"/>
        <v>-</v>
      </c>
      <c r="F26" s="101">
        <f t="shared" si="1"/>
        <v>1</v>
      </c>
      <c r="G26" s="1">
        <v>184974</v>
      </c>
      <c r="H26" s="85">
        <f t="shared" si="2"/>
        <v>0</v>
      </c>
    </row>
    <row r="27" spans="1:8" ht="31.5" customHeight="1">
      <c r="A27" s="77" t="s">
        <v>177</v>
      </c>
      <c r="B27" s="88" t="s">
        <v>180</v>
      </c>
      <c r="C27" s="79">
        <v>111</v>
      </c>
      <c r="D27" s="24">
        <f t="shared" si="3"/>
        <v>111</v>
      </c>
      <c r="E27" s="100" t="str">
        <f t="shared" si="0"/>
        <v>-</v>
      </c>
      <c r="F27" s="101">
        <f t="shared" si="1"/>
        <v>1</v>
      </c>
      <c r="G27" s="1">
        <v>111</v>
      </c>
      <c r="H27" s="85">
        <f t="shared" si="2"/>
        <v>0</v>
      </c>
    </row>
    <row r="28" spans="1:8" ht="31.5" customHeight="1">
      <c r="A28" s="77" t="s">
        <v>181</v>
      </c>
      <c r="B28" s="88" t="s">
        <v>179</v>
      </c>
      <c r="C28" s="79">
        <v>25</v>
      </c>
      <c r="D28" s="24">
        <f t="shared" si="3"/>
        <v>25</v>
      </c>
      <c r="E28" s="100" t="str">
        <f t="shared" si="0"/>
        <v>-</v>
      </c>
      <c r="F28" s="101">
        <f t="shared" si="1"/>
        <v>1</v>
      </c>
      <c r="G28" s="1">
        <v>25</v>
      </c>
      <c r="H28" s="85">
        <f t="shared" si="2"/>
        <v>0</v>
      </c>
    </row>
    <row r="29" spans="1:8" ht="33" customHeight="1">
      <c r="A29" s="30" t="s">
        <v>15</v>
      </c>
      <c r="B29" s="35" t="s">
        <v>124</v>
      </c>
      <c r="C29" s="79">
        <v>0</v>
      </c>
      <c r="D29" s="24">
        <f t="shared" si="3"/>
        <v>0</v>
      </c>
      <c r="E29" s="100" t="str">
        <f t="shared" si="0"/>
        <v>-</v>
      </c>
      <c r="F29" s="101" t="str">
        <f t="shared" si="1"/>
        <v>-</v>
      </c>
      <c r="G29" s="1">
        <v>0</v>
      </c>
      <c r="H29" s="85">
        <f t="shared" si="2"/>
        <v>0</v>
      </c>
    </row>
    <row r="30" spans="1:8" ht="33" customHeight="1">
      <c r="A30" s="30" t="s">
        <v>121</v>
      </c>
      <c r="B30" s="39" t="s">
        <v>182</v>
      </c>
      <c r="C30" s="79">
        <v>0</v>
      </c>
      <c r="D30" s="24">
        <f t="shared" si="3"/>
        <v>0</v>
      </c>
      <c r="E30" s="100" t="str">
        <f t="shared" si="0"/>
        <v>-</v>
      </c>
      <c r="F30" s="101" t="str">
        <f t="shared" si="1"/>
        <v>-</v>
      </c>
      <c r="G30" s="1">
        <v>0</v>
      </c>
      <c r="H30" s="85">
        <f t="shared" si="2"/>
        <v>0</v>
      </c>
    </row>
    <row r="31" spans="1:8" ht="31.5" customHeight="1">
      <c r="A31" s="77" t="s">
        <v>183</v>
      </c>
      <c r="B31" s="88" t="s">
        <v>199</v>
      </c>
      <c r="C31" s="79">
        <v>0</v>
      </c>
      <c r="D31" s="24">
        <f t="shared" si="3"/>
        <v>0</v>
      </c>
      <c r="E31" s="100" t="str">
        <f t="shared" si="0"/>
        <v>-</v>
      </c>
      <c r="F31" s="101" t="str">
        <f t="shared" si="1"/>
        <v>-</v>
      </c>
      <c r="G31" s="1">
        <v>0</v>
      </c>
      <c r="H31" s="85">
        <f t="shared" si="2"/>
        <v>0</v>
      </c>
    </row>
    <row r="32" spans="1:8" ht="33" customHeight="1">
      <c r="A32" s="30" t="s">
        <v>122</v>
      </c>
      <c r="B32" s="36" t="s">
        <v>125</v>
      </c>
      <c r="C32" s="79">
        <v>211707</v>
      </c>
      <c r="D32" s="24">
        <f>C32-211707</f>
        <v>0</v>
      </c>
      <c r="E32" s="100">
        <f t="shared" si="0"/>
        <v>-211707</v>
      </c>
      <c r="F32" s="101">
        <f t="shared" si="1"/>
        <v>0</v>
      </c>
      <c r="G32" s="1">
        <v>0</v>
      </c>
      <c r="H32" s="85">
        <f t="shared" si="2"/>
        <v>0</v>
      </c>
    </row>
    <row r="33" spans="1:8" ht="33" customHeight="1">
      <c r="A33" s="30" t="s">
        <v>123</v>
      </c>
      <c r="B33" s="39" t="s">
        <v>198</v>
      </c>
      <c r="C33" s="79">
        <v>4375</v>
      </c>
      <c r="D33" s="24">
        <f>C33+18627</f>
        <v>23002</v>
      </c>
      <c r="E33" s="100">
        <f t="shared" si="0"/>
        <v>18627</v>
      </c>
      <c r="F33" s="101">
        <f t="shared" si="1"/>
        <v>5.2576</v>
      </c>
      <c r="G33" s="1">
        <v>23002</v>
      </c>
      <c r="H33" s="85">
        <f t="shared" si="2"/>
        <v>0</v>
      </c>
    </row>
    <row r="34" spans="1:8" s="4" customFormat="1" ht="31.5" customHeight="1">
      <c r="A34" s="31" t="s">
        <v>60</v>
      </c>
      <c r="B34" s="37" t="s">
        <v>61</v>
      </c>
      <c r="C34" s="82">
        <v>0</v>
      </c>
      <c r="D34" s="94">
        <f>C34</f>
        <v>0</v>
      </c>
      <c r="E34" s="14" t="str">
        <f t="shared" si="0"/>
        <v>-</v>
      </c>
      <c r="F34" s="102" t="str">
        <f t="shared" si="1"/>
        <v>-</v>
      </c>
      <c r="G34" s="4">
        <v>0</v>
      </c>
      <c r="H34" s="85">
        <f t="shared" si="2"/>
        <v>0</v>
      </c>
    </row>
    <row r="35" spans="1:8" s="4" customFormat="1" ht="31.5" customHeight="1">
      <c r="A35" s="31" t="s">
        <v>59</v>
      </c>
      <c r="B35" s="37" t="s">
        <v>62</v>
      </c>
      <c r="C35" s="82">
        <v>65367</v>
      </c>
      <c r="D35" s="95">
        <f>C35</f>
        <v>65367</v>
      </c>
      <c r="E35" s="14" t="str">
        <f t="shared" si="0"/>
        <v>-</v>
      </c>
      <c r="F35" s="102">
        <f t="shared" si="1"/>
        <v>1</v>
      </c>
      <c r="G35" s="4">
        <v>65367</v>
      </c>
      <c r="H35" s="85">
        <f t="shared" si="2"/>
        <v>0</v>
      </c>
    </row>
    <row r="36" spans="1:8" s="4" customFormat="1" ht="42.75" customHeight="1">
      <c r="A36" s="31" t="s">
        <v>184</v>
      </c>
      <c r="B36" s="37" t="s">
        <v>185</v>
      </c>
      <c r="C36" s="82">
        <f>C12+C14+C25+C31</f>
        <v>233410</v>
      </c>
      <c r="D36" s="82">
        <f>D12+D14+D25+D31</f>
        <v>254464</v>
      </c>
      <c r="E36" s="14">
        <f t="shared" si="0"/>
        <v>21054</v>
      </c>
      <c r="F36" s="102">
        <f t="shared" si="1"/>
        <v>1.0902</v>
      </c>
      <c r="G36" s="4">
        <v>254464</v>
      </c>
      <c r="H36" s="85">
        <f t="shared" si="2"/>
        <v>0</v>
      </c>
    </row>
    <row r="37" spans="1:6" s="2" customFormat="1" ht="30" customHeight="1">
      <c r="A37" s="25" t="s">
        <v>16</v>
      </c>
      <c r="B37" s="44" t="s">
        <v>195</v>
      </c>
      <c r="C37" s="23">
        <f>C38+C39+C40+C48+C50+C56+C57+C55</f>
        <v>16413</v>
      </c>
      <c r="D37" s="23">
        <f>D38+D39+D40+D48+D50+D56+D57+D55</f>
        <v>16413</v>
      </c>
      <c r="E37" s="12" t="str">
        <f t="shared" si="0"/>
        <v>-</v>
      </c>
      <c r="F37" s="103">
        <f t="shared" si="1"/>
        <v>1</v>
      </c>
    </row>
    <row r="38" spans="1:6" ht="28.5" customHeight="1">
      <c r="A38" s="30" t="s">
        <v>17</v>
      </c>
      <c r="B38" s="39" t="s">
        <v>18</v>
      </c>
      <c r="C38" s="79">
        <v>681</v>
      </c>
      <c r="D38" s="83">
        <f>C38</f>
        <v>681</v>
      </c>
      <c r="E38" s="100" t="str">
        <f t="shared" si="0"/>
        <v>-</v>
      </c>
      <c r="F38" s="101">
        <f t="shared" si="1"/>
        <v>1</v>
      </c>
    </row>
    <row r="39" spans="1:6" ht="28.5" customHeight="1">
      <c r="A39" s="30" t="s">
        <v>19</v>
      </c>
      <c r="B39" s="39" t="s">
        <v>20</v>
      </c>
      <c r="C39" s="79">
        <v>2611</v>
      </c>
      <c r="D39" s="83">
        <f>C39</f>
        <v>2611</v>
      </c>
      <c r="E39" s="100" t="str">
        <f t="shared" si="0"/>
        <v>-</v>
      </c>
      <c r="F39" s="101">
        <f t="shared" si="1"/>
        <v>1</v>
      </c>
    </row>
    <row r="40" spans="1:6" ht="28.5" customHeight="1">
      <c r="A40" s="30" t="s">
        <v>21</v>
      </c>
      <c r="B40" s="40" t="s">
        <v>32</v>
      </c>
      <c r="C40" s="93">
        <f>C41+C43+C44+C45+C46+C47</f>
        <v>139</v>
      </c>
      <c r="D40" s="83">
        <f>D41+D43+D44+D45+D46+D47</f>
        <v>139</v>
      </c>
      <c r="E40" s="100" t="str">
        <f t="shared" si="0"/>
        <v>-</v>
      </c>
      <c r="F40" s="101">
        <f t="shared" si="1"/>
        <v>1</v>
      </c>
    </row>
    <row r="41" spans="1:6" ht="28.5" customHeight="1">
      <c r="A41" s="41" t="s">
        <v>40</v>
      </c>
      <c r="B41" s="42" t="s">
        <v>33</v>
      </c>
      <c r="C41" s="79">
        <v>29</v>
      </c>
      <c r="D41" s="83">
        <f>C41</f>
        <v>29</v>
      </c>
      <c r="E41" s="100" t="str">
        <f t="shared" si="0"/>
        <v>-</v>
      </c>
      <c r="F41" s="101">
        <f t="shared" si="1"/>
        <v>1</v>
      </c>
    </row>
    <row r="42" spans="1:6" ht="28.5" customHeight="1">
      <c r="A42" s="41" t="s">
        <v>41</v>
      </c>
      <c r="B42" s="43" t="s">
        <v>34</v>
      </c>
      <c r="C42" s="79">
        <v>29</v>
      </c>
      <c r="D42" s="83">
        <f aca="true" t="shared" si="4" ref="D42:D61">C42</f>
        <v>29</v>
      </c>
      <c r="E42" s="100" t="str">
        <f t="shared" si="0"/>
        <v>-</v>
      </c>
      <c r="F42" s="101">
        <f t="shared" si="1"/>
        <v>1</v>
      </c>
    </row>
    <row r="43" spans="1:6" ht="28.5" customHeight="1">
      <c r="A43" s="41" t="s">
        <v>42</v>
      </c>
      <c r="B43" s="42" t="s">
        <v>35</v>
      </c>
      <c r="C43" s="79">
        <v>0</v>
      </c>
      <c r="D43" s="83">
        <f t="shared" si="4"/>
        <v>0</v>
      </c>
      <c r="E43" s="100" t="str">
        <f t="shared" si="0"/>
        <v>-</v>
      </c>
      <c r="F43" s="101" t="str">
        <f t="shared" si="1"/>
        <v>-</v>
      </c>
    </row>
    <row r="44" spans="1:6" ht="28.5" customHeight="1">
      <c r="A44" s="41" t="s">
        <v>43</v>
      </c>
      <c r="B44" s="42" t="s">
        <v>36</v>
      </c>
      <c r="C44" s="79">
        <v>0</v>
      </c>
      <c r="D44" s="83">
        <f t="shared" si="4"/>
        <v>0</v>
      </c>
      <c r="E44" s="100" t="str">
        <f t="shared" si="0"/>
        <v>-</v>
      </c>
      <c r="F44" s="101" t="str">
        <f t="shared" si="1"/>
        <v>-</v>
      </c>
    </row>
    <row r="45" spans="1:6" ht="28.5" customHeight="1">
      <c r="A45" s="41" t="s">
        <v>44</v>
      </c>
      <c r="B45" s="42" t="s">
        <v>37</v>
      </c>
      <c r="C45" s="79">
        <v>0</v>
      </c>
      <c r="D45" s="83">
        <f t="shared" si="4"/>
        <v>0</v>
      </c>
      <c r="E45" s="100" t="str">
        <f t="shared" si="0"/>
        <v>-</v>
      </c>
      <c r="F45" s="101" t="str">
        <f t="shared" si="1"/>
        <v>-</v>
      </c>
    </row>
    <row r="46" spans="1:6" ht="28.5" customHeight="1">
      <c r="A46" s="41" t="s">
        <v>45</v>
      </c>
      <c r="B46" s="42" t="s">
        <v>38</v>
      </c>
      <c r="C46" s="79">
        <v>110</v>
      </c>
      <c r="D46" s="83">
        <f t="shared" si="4"/>
        <v>110</v>
      </c>
      <c r="E46" s="100" t="str">
        <f t="shared" si="0"/>
        <v>-</v>
      </c>
      <c r="F46" s="101">
        <f t="shared" si="1"/>
        <v>1</v>
      </c>
    </row>
    <row r="47" spans="1:6" ht="28.5" customHeight="1">
      <c r="A47" s="41" t="s">
        <v>46</v>
      </c>
      <c r="B47" s="42" t="s">
        <v>39</v>
      </c>
      <c r="C47" s="79">
        <v>0</v>
      </c>
      <c r="D47" s="83">
        <f>C47</f>
        <v>0</v>
      </c>
      <c r="E47" s="100" t="str">
        <f t="shared" si="0"/>
        <v>-</v>
      </c>
      <c r="F47" s="101" t="str">
        <f t="shared" si="1"/>
        <v>-</v>
      </c>
    </row>
    <row r="48" spans="1:6" ht="28.5" customHeight="1">
      <c r="A48" s="30" t="s">
        <v>22</v>
      </c>
      <c r="B48" s="39" t="s">
        <v>186</v>
      </c>
      <c r="C48" s="79">
        <v>8126</v>
      </c>
      <c r="D48" s="83">
        <f>C48</f>
        <v>8126</v>
      </c>
      <c r="E48" s="100" t="str">
        <f t="shared" si="0"/>
        <v>-</v>
      </c>
      <c r="F48" s="101">
        <f t="shared" si="1"/>
        <v>1</v>
      </c>
    </row>
    <row r="49" spans="1:6" ht="28.5" customHeight="1">
      <c r="A49" s="41" t="s">
        <v>187</v>
      </c>
      <c r="B49" s="42" t="s">
        <v>188</v>
      </c>
      <c r="C49" s="79">
        <v>73</v>
      </c>
      <c r="D49" s="83">
        <f>C49</f>
        <v>73</v>
      </c>
      <c r="E49" s="100" t="str">
        <f t="shared" si="0"/>
        <v>-</v>
      </c>
      <c r="F49" s="101">
        <f t="shared" si="1"/>
        <v>1</v>
      </c>
    </row>
    <row r="50" spans="1:6" ht="28.5" customHeight="1">
      <c r="A50" s="30" t="s">
        <v>23</v>
      </c>
      <c r="B50" s="40" t="s">
        <v>55</v>
      </c>
      <c r="C50" s="93">
        <f>C51+C52+C53+C54</f>
        <v>1804</v>
      </c>
      <c r="D50" s="83">
        <f>D51+D52+D53+D54</f>
        <v>1804</v>
      </c>
      <c r="E50" s="100" t="str">
        <f t="shared" si="0"/>
        <v>-</v>
      </c>
      <c r="F50" s="101">
        <f t="shared" si="1"/>
        <v>1</v>
      </c>
    </row>
    <row r="51" spans="1:6" ht="28.5" customHeight="1">
      <c r="A51" s="41" t="s">
        <v>51</v>
      </c>
      <c r="B51" s="42" t="s">
        <v>47</v>
      </c>
      <c r="C51" s="83">
        <v>1397</v>
      </c>
      <c r="D51" s="83">
        <f t="shared" si="4"/>
        <v>1397</v>
      </c>
      <c r="E51" s="100" t="str">
        <f t="shared" si="0"/>
        <v>-</v>
      </c>
      <c r="F51" s="101">
        <f t="shared" si="1"/>
        <v>1</v>
      </c>
    </row>
    <row r="52" spans="1:6" ht="28.5" customHeight="1">
      <c r="A52" s="41" t="s">
        <v>52</v>
      </c>
      <c r="B52" s="42" t="s">
        <v>48</v>
      </c>
      <c r="C52" s="83">
        <v>199</v>
      </c>
      <c r="D52" s="83">
        <f t="shared" si="4"/>
        <v>199</v>
      </c>
      <c r="E52" s="100" t="str">
        <f t="shared" si="0"/>
        <v>-</v>
      </c>
      <c r="F52" s="101">
        <f t="shared" si="1"/>
        <v>1</v>
      </c>
    </row>
    <row r="53" spans="1:6" ht="28.5" customHeight="1">
      <c r="A53" s="41" t="s">
        <v>53</v>
      </c>
      <c r="B53" s="42" t="s">
        <v>49</v>
      </c>
      <c r="C53" s="83">
        <v>0</v>
      </c>
      <c r="D53" s="83">
        <f t="shared" si="4"/>
        <v>0</v>
      </c>
      <c r="E53" s="100" t="str">
        <f t="shared" si="0"/>
        <v>-</v>
      </c>
      <c r="F53" s="101" t="str">
        <f t="shared" si="1"/>
        <v>-</v>
      </c>
    </row>
    <row r="54" spans="1:6" ht="28.5" customHeight="1">
      <c r="A54" s="41" t="s">
        <v>54</v>
      </c>
      <c r="B54" s="42" t="s">
        <v>50</v>
      </c>
      <c r="C54" s="83">
        <v>208</v>
      </c>
      <c r="D54" s="83">
        <f t="shared" si="4"/>
        <v>208</v>
      </c>
      <c r="E54" s="100" t="str">
        <f t="shared" si="0"/>
        <v>-</v>
      </c>
      <c r="F54" s="101">
        <f t="shared" si="1"/>
        <v>1</v>
      </c>
    </row>
    <row r="55" spans="1:6" ht="28.5" customHeight="1">
      <c r="A55" s="30" t="s">
        <v>24</v>
      </c>
      <c r="B55" s="39" t="s">
        <v>25</v>
      </c>
      <c r="C55" s="79">
        <v>0</v>
      </c>
      <c r="D55" s="83">
        <f>C55</f>
        <v>0</v>
      </c>
      <c r="E55" s="100" t="str">
        <f t="shared" si="0"/>
        <v>-</v>
      </c>
      <c r="F55" s="101" t="str">
        <f t="shared" si="1"/>
        <v>-</v>
      </c>
    </row>
    <row r="56" spans="1:6" ht="28.5" customHeight="1">
      <c r="A56" s="30" t="s">
        <v>26</v>
      </c>
      <c r="B56" s="39" t="s">
        <v>189</v>
      </c>
      <c r="C56" s="79">
        <v>2776</v>
      </c>
      <c r="D56" s="83">
        <f>C56</f>
        <v>2776</v>
      </c>
      <c r="E56" s="100" t="str">
        <f t="shared" si="0"/>
        <v>-</v>
      </c>
      <c r="F56" s="104">
        <f t="shared" si="1"/>
        <v>1</v>
      </c>
    </row>
    <row r="57" spans="1:6" ht="28.5" customHeight="1">
      <c r="A57" s="30" t="s">
        <v>27</v>
      </c>
      <c r="B57" s="39" t="s">
        <v>28</v>
      </c>
      <c r="C57" s="79">
        <v>276</v>
      </c>
      <c r="D57" s="83">
        <f>C57</f>
        <v>276</v>
      </c>
      <c r="E57" s="100" t="str">
        <f t="shared" si="0"/>
        <v>-</v>
      </c>
      <c r="F57" s="101">
        <f t="shared" si="1"/>
        <v>1</v>
      </c>
    </row>
    <row r="58" spans="1:6" s="2" customFormat="1" ht="30" customHeight="1">
      <c r="A58" s="32" t="s">
        <v>29</v>
      </c>
      <c r="B58" s="44" t="s">
        <v>190</v>
      </c>
      <c r="C58" s="81">
        <f>C59+C60+C61+C62</f>
        <v>14192</v>
      </c>
      <c r="D58" s="26">
        <f>D59+D60+D61+D62</f>
        <v>14192</v>
      </c>
      <c r="E58" s="12" t="str">
        <f t="shared" si="0"/>
        <v>-</v>
      </c>
      <c r="F58" s="105">
        <f t="shared" si="1"/>
        <v>1</v>
      </c>
    </row>
    <row r="59" spans="1:6" ht="42" customHeight="1">
      <c r="A59" s="30" t="s">
        <v>104</v>
      </c>
      <c r="B59" s="39" t="s">
        <v>126</v>
      </c>
      <c r="C59" s="79">
        <v>6</v>
      </c>
      <c r="D59" s="83">
        <f t="shared" si="4"/>
        <v>6</v>
      </c>
      <c r="E59" s="75" t="str">
        <f t="shared" si="0"/>
        <v>-</v>
      </c>
      <c r="F59" s="101">
        <f t="shared" si="1"/>
        <v>1</v>
      </c>
    </row>
    <row r="60" spans="1:6" ht="31.5" customHeight="1">
      <c r="A60" s="30" t="s">
        <v>30</v>
      </c>
      <c r="B60" s="39" t="s">
        <v>57</v>
      </c>
      <c r="C60" s="79">
        <v>13636</v>
      </c>
      <c r="D60" s="83">
        <f t="shared" si="4"/>
        <v>13636</v>
      </c>
      <c r="E60" s="75" t="str">
        <f t="shared" si="0"/>
        <v>-</v>
      </c>
      <c r="F60" s="101">
        <f t="shared" si="1"/>
        <v>1</v>
      </c>
    </row>
    <row r="61" spans="1:6" ht="31.5" customHeight="1">
      <c r="A61" s="30" t="s">
        <v>31</v>
      </c>
      <c r="B61" s="39" t="s">
        <v>106</v>
      </c>
      <c r="C61" s="79">
        <v>0</v>
      </c>
      <c r="D61" s="83">
        <f t="shared" si="4"/>
        <v>0</v>
      </c>
      <c r="E61" s="75" t="str">
        <f t="shared" si="0"/>
        <v>-</v>
      </c>
      <c r="F61" s="101" t="str">
        <f t="shared" si="1"/>
        <v>-</v>
      </c>
    </row>
    <row r="62" spans="1:6" ht="31.5" customHeight="1">
      <c r="A62" s="30" t="s">
        <v>105</v>
      </c>
      <c r="B62" s="39" t="s">
        <v>107</v>
      </c>
      <c r="C62" s="79">
        <v>550</v>
      </c>
      <c r="D62" s="83">
        <f>C62</f>
        <v>550</v>
      </c>
      <c r="E62" s="75" t="str">
        <f t="shared" si="0"/>
        <v>-</v>
      </c>
      <c r="F62" s="101">
        <f t="shared" si="1"/>
        <v>1</v>
      </c>
    </row>
    <row r="63" spans="1:6" ht="32.25" customHeight="1">
      <c r="A63" s="32" t="s">
        <v>112</v>
      </c>
      <c r="B63" s="44" t="s">
        <v>133</v>
      </c>
      <c r="C63" s="81">
        <v>2605</v>
      </c>
      <c r="D63" s="26">
        <f>C63</f>
        <v>2605</v>
      </c>
      <c r="E63" s="12" t="str">
        <f t="shared" si="0"/>
        <v>-</v>
      </c>
      <c r="F63" s="105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63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A2" sqref="A2:B2"/>
      <selection pane="topRight" activeCell="A2" sqref="A2:B2"/>
      <selection pane="bottomLeft" activeCell="A2" sqref="A2:B2"/>
      <selection pane="bottomRight" activeCell="A2" sqref="A2:B2"/>
    </sheetView>
  </sheetViews>
  <sheetFormatPr defaultColWidth="9.00390625" defaultRowHeight="12.75"/>
  <cols>
    <col min="1" max="1" width="9.125" style="1" customWidth="1"/>
    <col min="2" max="2" width="125.875" style="1" customWidth="1"/>
    <col min="3" max="3" width="25.75390625" style="1" customWidth="1"/>
    <col min="4" max="4" width="26.875" style="1" customWidth="1"/>
    <col min="5" max="6" width="20.75390625" style="1" customWidth="1"/>
    <col min="7" max="7" width="9.125" style="1" customWidth="1"/>
    <col min="8" max="8" width="9.375" style="1" bestFit="1" customWidth="1"/>
    <col min="9" max="16384" width="9.125" style="1" customWidth="1"/>
  </cols>
  <sheetData>
    <row r="1" spans="1:6" s="47" customFormat="1" ht="54.75" customHeight="1">
      <c r="A1" s="119" t="str">
        <f>NFZ!A1</f>
        <v>URUCHOMIENIE REZERWY NA KOSZTY ŚWIADCZEŃ OPIEKI ZDROWOTNEJ W RAMACH MIGRACJI UBEZPIECZONYCH Z DNIA 30 SIERPNIA 2012 R. W PLANIE FINANSOWYM NARODOWEGO FUNDUSZU ZDROWIA NA 2013 ROK</v>
      </c>
      <c r="B1" s="119"/>
      <c r="C1" s="119"/>
      <c r="D1" s="119"/>
      <c r="E1" s="119"/>
      <c r="F1" s="119"/>
    </row>
    <row r="2" spans="1:3" s="49" customFormat="1" ht="33" customHeight="1">
      <c r="A2" s="87" t="s">
        <v>67</v>
      </c>
      <c r="B2" s="87"/>
      <c r="C2" s="96"/>
    </row>
    <row r="3" spans="1:6" ht="33" customHeight="1">
      <c r="A3" s="7"/>
      <c r="B3" s="8"/>
      <c r="C3" s="86"/>
      <c r="D3" s="86"/>
      <c r="E3" s="86" t="s">
        <v>166</v>
      </c>
      <c r="F3" s="9"/>
    </row>
    <row r="4" spans="1:6" s="5" customFormat="1" ht="45" customHeight="1">
      <c r="A4" s="114" t="s">
        <v>137</v>
      </c>
      <c r="B4" s="114" t="s">
        <v>56</v>
      </c>
      <c r="C4" s="115" t="s">
        <v>206</v>
      </c>
      <c r="D4" s="115" t="s">
        <v>203</v>
      </c>
      <c r="E4" s="118" t="s">
        <v>204</v>
      </c>
      <c r="F4" s="118" t="s">
        <v>205</v>
      </c>
    </row>
    <row r="5" spans="1:6" s="5" customFormat="1" ht="45" customHeight="1">
      <c r="A5" s="114"/>
      <c r="B5" s="114"/>
      <c r="C5" s="116"/>
      <c r="D5" s="116"/>
      <c r="E5" s="118"/>
      <c r="F5" s="118"/>
    </row>
    <row r="6" spans="1:6" s="3" customFormat="1" ht="14.25">
      <c r="A6" s="46">
        <v>1</v>
      </c>
      <c r="B6" s="51">
        <v>2</v>
      </c>
      <c r="C6" s="46">
        <v>3</v>
      </c>
      <c r="D6" s="51">
        <v>4</v>
      </c>
      <c r="E6" s="46">
        <v>5</v>
      </c>
      <c r="F6" s="51">
        <v>6</v>
      </c>
    </row>
    <row r="7" spans="1:6" s="2" customFormat="1" ht="30" customHeight="1">
      <c r="A7" s="22" t="s">
        <v>0</v>
      </c>
      <c r="B7" s="38" t="s">
        <v>174</v>
      </c>
      <c r="C7" s="97">
        <f>C8+C9+C10+C15+C16+C17+C18+C19+C20+C21+C22+C23+C24+C25+C29+C30+C32+C33</f>
        <v>4260059</v>
      </c>
      <c r="D7" s="15">
        <f>D8+D9+D10+D15+D16+D17+D18+D19+D20+D21+D22+D23+D24+D25+D29+D30+D32+D33</f>
        <v>4260059</v>
      </c>
      <c r="E7" s="12" t="str">
        <f>IF(C7=D7,"-",D7-C7)</f>
        <v>-</v>
      </c>
      <c r="F7" s="99">
        <f>IF(C7=0,"-",D7/C7)</f>
        <v>1</v>
      </c>
    </row>
    <row r="8" spans="1:8" ht="33" customHeight="1">
      <c r="A8" s="28" t="s">
        <v>1</v>
      </c>
      <c r="B8" s="76" t="s">
        <v>138</v>
      </c>
      <c r="C8" s="79">
        <v>511799</v>
      </c>
      <c r="D8" s="24">
        <f>C8</f>
        <v>511799</v>
      </c>
      <c r="E8" s="100" t="str">
        <f aca="true" t="shared" si="0" ref="E8:E63">IF(C8=D8,"-",D8-C8)</f>
        <v>-</v>
      </c>
      <c r="F8" s="101">
        <f aca="true" t="shared" si="1" ref="F8:F63">IF(C8=0,"-",D8/C8)</f>
        <v>1</v>
      </c>
      <c r="G8" s="1">
        <v>511799</v>
      </c>
      <c r="H8" s="85">
        <f>D8-G8</f>
        <v>0</v>
      </c>
    </row>
    <row r="9" spans="1:8" ht="33" customHeight="1">
      <c r="A9" s="28" t="s">
        <v>2</v>
      </c>
      <c r="B9" s="76" t="s">
        <v>139</v>
      </c>
      <c r="C9" s="79">
        <v>305783</v>
      </c>
      <c r="D9" s="24">
        <f>C9+13208</f>
        <v>318991</v>
      </c>
      <c r="E9" s="100">
        <f t="shared" si="0"/>
        <v>13208</v>
      </c>
      <c r="F9" s="101">
        <f t="shared" si="1"/>
        <v>1.0432</v>
      </c>
      <c r="G9" s="1">
        <v>318991</v>
      </c>
      <c r="H9" s="85">
        <f aca="true" t="shared" si="2" ref="H9:H36">D9-G9</f>
        <v>0</v>
      </c>
    </row>
    <row r="10" spans="1:8" ht="33" customHeight="1">
      <c r="A10" s="28" t="s">
        <v>3</v>
      </c>
      <c r="B10" s="76" t="s">
        <v>136</v>
      </c>
      <c r="C10" s="79">
        <v>1850809</v>
      </c>
      <c r="D10" s="24">
        <f>C10+168106+1127+11153+7317+7123</f>
        <v>2045635</v>
      </c>
      <c r="E10" s="100">
        <f t="shared" si="0"/>
        <v>194826</v>
      </c>
      <c r="F10" s="101">
        <f t="shared" si="1"/>
        <v>1.1053</v>
      </c>
      <c r="G10" s="1">
        <v>2045635</v>
      </c>
      <c r="H10" s="85">
        <f t="shared" si="2"/>
        <v>0</v>
      </c>
    </row>
    <row r="11" spans="1:8" ht="31.5" customHeight="1">
      <c r="A11" s="77" t="s">
        <v>58</v>
      </c>
      <c r="B11" s="88" t="s">
        <v>167</v>
      </c>
      <c r="C11" s="79">
        <v>120003</v>
      </c>
      <c r="D11" s="24">
        <f>C11+1127+11153</f>
        <v>132283</v>
      </c>
      <c r="E11" s="100">
        <f t="shared" si="0"/>
        <v>12280</v>
      </c>
      <c r="F11" s="101">
        <f t="shared" si="1"/>
        <v>1.1023</v>
      </c>
      <c r="G11" s="1">
        <v>132283</v>
      </c>
      <c r="H11" s="85">
        <f t="shared" si="2"/>
        <v>0</v>
      </c>
    </row>
    <row r="12" spans="1:8" ht="31.5" customHeight="1">
      <c r="A12" s="77" t="s">
        <v>168</v>
      </c>
      <c r="B12" s="88" t="s">
        <v>171</v>
      </c>
      <c r="C12" s="79">
        <v>109531</v>
      </c>
      <c r="D12" s="24">
        <f>C12+11153</f>
        <v>120684</v>
      </c>
      <c r="E12" s="100">
        <f t="shared" si="0"/>
        <v>11153</v>
      </c>
      <c r="F12" s="101">
        <f t="shared" si="1"/>
        <v>1.1018</v>
      </c>
      <c r="G12" s="1">
        <v>120684</v>
      </c>
      <c r="H12" s="85">
        <f t="shared" si="2"/>
        <v>0</v>
      </c>
    </row>
    <row r="13" spans="1:8" ht="31.5" customHeight="1">
      <c r="A13" s="77" t="s">
        <v>169</v>
      </c>
      <c r="B13" s="88" t="s">
        <v>172</v>
      </c>
      <c r="C13" s="79">
        <v>77088</v>
      </c>
      <c r="D13" s="24">
        <f>C13+7317+7123</f>
        <v>91528</v>
      </c>
      <c r="E13" s="100">
        <f t="shared" si="0"/>
        <v>14440</v>
      </c>
      <c r="F13" s="101">
        <f t="shared" si="1"/>
        <v>1.1873</v>
      </c>
      <c r="G13" s="1">
        <v>91528</v>
      </c>
      <c r="H13" s="85">
        <f t="shared" si="2"/>
        <v>0</v>
      </c>
    </row>
    <row r="14" spans="1:8" ht="31.5" customHeight="1">
      <c r="A14" s="77" t="s">
        <v>170</v>
      </c>
      <c r="B14" s="88" t="s">
        <v>173</v>
      </c>
      <c r="C14" s="79">
        <v>37737</v>
      </c>
      <c r="D14" s="24">
        <f>C14+7123</f>
        <v>44860</v>
      </c>
      <c r="E14" s="100">
        <f t="shared" si="0"/>
        <v>7123</v>
      </c>
      <c r="F14" s="101">
        <f t="shared" si="1"/>
        <v>1.1888</v>
      </c>
      <c r="G14" s="1">
        <v>44860</v>
      </c>
      <c r="H14" s="85">
        <f t="shared" si="2"/>
        <v>0</v>
      </c>
    </row>
    <row r="15" spans="1:8" ht="33" customHeight="1">
      <c r="A15" s="28" t="s">
        <v>4</v>
      </c>
      <c r="B15" s="76" t="s">
        <v>144</v>
      </c>
      <c r="C15" s="79">
        <v>132219</v>
      </c>
      <c r="D15" s="24">
        <f>C15+23073</f>
        <v>155292</v>
      </c>
      <c r="E15" s="100">
        <f t="shared" si="0"/>
        <v>23073</v>
      </c>
      <c r="F15" s="101">
        <f t="shared" si="1"/>
        <v>1.1745</v>
      </c>
      <c r="G15" s="1">
        <v>155292</v>
      </c>
      <c r="H15" s="85">
        <f t="shared" si="2"/>
        <v>0</v>
      </c>
    </row>
    <row r="16" spans="1:8" ht="33" customHeight="1">
      <c r="A16" s="28" t="s">
        <v>5</v>
      </c>
      <c r="B16" s="76" t="s">
        <v>140</v>
      </c>
      <c r="C16" s="79">
        <v>111225</v>
      </c>
      <c r="D16" s="24">
        <f>C16+12719</f>
        <v>123944</v>
      </c>
      <c r="E16" s="100">
        <f t="shared" si="0"/>
        <v>12719</v>
      </c>
      <c r="F16" s="101">
        <f t="shared" si="1"/>
        <v>1.1144</v>
      </c>
      <c r="G16" s="1">
        <v>123944</v>
      </c>
      <c r="H16" s="85">
        <f t="shared" si="2"/>
        <v>0</v>
      </c>
    </row>
    <row r="17" spans="1:8" ht="33" customHeight="1">
      <c r="A17" s="28" t="s">
        <v>6</v>
      </c>
      <c r="B17" s="76" t="s">
        <v>146</v>
      </c>
      <c r="C17" s="79">
        <v>49910</v>
      </c>
      <c r="D17" s="24">
        <f>C17+6145</f>
        <v>56055</v>
      </c>
      <c r="E17" s="100">
        <f t="shared" si="0"/>
        <v>6145</v>
      </c>
      <c r="F17" s="101">
        <f t="shared" si="1"/>
        <v>1.1231</v>
      </c>
      <c r="G17" s="1">
        <v>56055</v>
      </c>
      <c r="H17" s="85">
        <f t="shared" si="2"/>
        <v>0</v>
      </c>
    </row>
    <row r="18" spans="1:8" ht="33" customHeight="1">
      <c r="A18" s="28" t="s">
        <v>7</v>
      </c>
      <c r="B18" s="76" t="s">
        <v>145</v>
      </c>
      <c r="C18" s="79">
        <v>20345</v>
      </c>
      <c r="D18" s="24">
        <f>C18+1254</f>
        <v>21599</v>
      </c>
      <c r="E18" s="100">
        <f t="shared" si="0"/>
        <v>1254</v>
      </c>
      <c r="F18" s="101">
        <f t="shared" si="1"/>
        <v>1.0616</v>
      </c>
      <c r="G18" s="1">
        <v>21599</v>
      </c>
      <c r="H18" s="85">
        <f t="shared" si="2"/>
        <v>0</v>
      </c>
    </row>
    <row r="19" spans="1:8" ht="33" customHeight="1">
      <c r="A19" s="28" t="s">
        <v>8</v>
      </c>
      <c r="B19" s="76" t="s">
        <v>141</v>
      </c>
      <c r="C19" s="79">
        <v>116371</v>
      </c>
      <c r="D19" s="24">
        <f>C19+3333</f>
        <v>119704</v>
      </c>
      <c r="E19" s="100">
        <f t="shared" si="0"/>
        <v>3333</v>
      </c>
      <c r="F19" s="101">
        <f t="shared" si="1"/>
        <v>1.0286</v>
      </c>
      <c r="G19" s="1">
        <v>119704</v>
      </c>
      <c r="H19" s="85">
        <f t="shared" si="2"/>
        <v>0</v>
      </c>
    </row>
    <row r="20" spans="1:8" ht="33" customHeight="1">
      <c r="A20" s="28" t="s">
        <v>9</v>
      </c>
      <c r="B20" s="76" t="s">
        <v>142</v>
      </c>
      <c r="C20" s="79">
        <v>45248</v>
      </c>
      <c r="D20" s="24">
        <f>C20</f>
        <v>45248</v>
      </c>
      <c r="E20" s="100" t="str">
        <f t="shared" si="0"/>
        <v>-</v>
      </c>
      <c r="F20" s="101">
        <f t="shared" si="1"/>
        <v>1</v>
      </c>
      <c r="G20" s="1">
        <v>45248</v>
      </c>
      <c r="H20" s="85">
        <f t="shared" si="2"/>
        <v>0</v>
      </c>
    </row>
    <row r="21" spans="1:8" ht="33" customHeight="1">
      <c r="A21" s="28" t="s">
        <v>10</v>
      </c>
      <c r="B21" s="76" t="s">
        <v>147</v>
      </c>
      <c r="C21" s="79">
        <v>2550</v>
      </c>
      <c r="D21" s="24">
        <f>C21</f>
        <v>2550</v>
      </c>
      <c r="E21" s="100" t="str">
        <f t="shared" si="0"/>
        <v>-</v>
      </c>
      <c r="F21" s="101">
        <f t="shared" si="1"/>
        <v>1</v>
      </c>
      <c r="G21" s="1">
        <v>2550</v>
      </c>
      <c r="H21" s="85">
        <f t="shared" si="2"/>
        <v>0</v>
      </c>
    </row>
    <row r="22" spans="1:8" ht="46.5" customHeight="1">
      <c r="A22" s="28" t="s">
        <v>11</v>
      </c>
      <c r="B22" s="76" t="s">
        <v>143</v>
      </c>
      <c r="C22" s="79">
        <v>10958</v>
      </c>
      <c r="D22" s="24">
        <f>C22+174</f>
        <v>11132</v>
      </c>
      <c r="E22" s="100">
        <f t="shared" si="0"/>
        <v>174</v>
      </c>
      <c r="F22" s="101">
        <f t="shared" si="1"/>
        <v>1.0159</v>
      </c>
      <c r="G22" s="1">
        <v>11132</v>
      </c>
      <c r="H22" s="85">
        <f t="shared" si="2"/>
        <v>0</v>
      </c>
    </row>
    <row r="23" spans="1:8" ht="33" customHeight="1">
      <c r="A23" s="28" t="s">
        <v>12</v>
      </c>
      <c r="B23" s="76" t="s">
        <v>197</v>
      </c>
      <c r="C23" s="79">
        <v>98884</v>
      </c>
      <c r="D23" s="24">
        <f>C23+8915</f>
        <v>107799</v>
      </c>
      <c r="E23" s="100">
        <f t="shared" si="0"/>
        <v>8915</v>
      </c>
      <c r="F23" s="101">
        <f t="shared" si="1"/>
        <v>1.0902</v>
      </c>
      <c r="G23" s="1">
        <v>107799</v>
      </c>
      <c r="H23" s="85">
        <f t="shared" si="2"/>
        <v>0</v>
      </c>
    </row>
    <row r="24" spans="1:8" ht="33" customHeight="1">
      <c r="A24" s="28" t="s">
        <v>13</v>
      </c>
      <c r="B24" s="76" t="s">
        <v>175</v>
      </c>
      <c r="C24" s="79">
        <v>69081</v>
      </c>
      <c r="D24" s="24">
        <f aca="true" t="shared" si="3" ref="D24:D31">C24</f>
        <v>69081</v>
      </c>
      <c r="E24" s="100" t="str">
        <f t="shared" si="0"/>
        <v>-</v>
      </c>
      <c r="F24" s="101">
        <f t="shared" si="1"/>
        <v>1</v>
      </c>
      <c r="G24" s="1">
        <v>69081</v>
      </c>
      <c r="H24" s="85">
        <f t="shared" si="2"/>
        <v>0</v>
      </c>
    </row>
    <row r="25" spans="1:8" ht="33" customHeight="1">
      <c r="A25" s="29" t="s">
        <v>14</v>
      </c>
      <c r="B25" s="76" t="s">
        <v>176</v>
      </c>
      <c r="C25" s="79">
        <v>627442</v>
      </c>
      <c r="D25" s="24">
        <f t="shared" si="3"/>
        <v>627442</v>
      </c>
      <c r="E25" s="100" t="str">
        <f t="shared" si="0"/>
        <v>-</v>
      </c>
      <c r="F25" s="101">
        <f t="shared" si="1"/>
        <v>1</v>
      </c>
      <c r="G25" s="1">
        <v>627442</v>
      </c>
      <c r="H25" s="85">
        <f t="shared" si="2"/>
        <v>0</v>
      </c>
    </row>
    <row r="26" spans="1:8" ht="31.5">
      <c r="A26" s="27" t="s">
        <v>148</v>
      </c>
      <c r="B26" s="88" t="s">
        <v>178</v>
      </c>
      <c r="C26" s="79">
        <v>626502</v>
      </c>
      <c r="D26" s="24">
        <f t="shared" si="3"/>
        <v>626502</v>
      </c>
      <c r="E26" s="100" t="str">
        <f t="shared" si="0"/>
        <v>-</v>
      </c>
      <c r="F26" s="101">
        <f t="shared" si="1"/>
        <v>1</v>
      </c>
      <c r="G26" s="1">
        <v>626502</v>
      </c>
      <c r="H26" s="85">
        <f t="shared" si="2"/>
        <v>0</v>
      </c>
    </row>
    <row r="27" spans="1:8" ht="31.5" customHeight="1">
      <c r="A27" s="77" t="s">
        <v>177</v>
      </c>
      <c r="B27" s="88" t="s">
        <v>180</v>
      </c>
      <c r="C27" s="79">
        <v>460</v>
      </c>
      <c r="D27" s="24">
        <f t="shared" si="3"/>
        <v>460</v>
      </c>
      <c r="E27" s="100" t="str">
        <f t="shared" si="0"/>
        <v>-</v>
      </c>
      <c r="F27" s="101">
        <f t="shared" si="1"/>
        <v>1</v>
      </c>
      <c r="G27" s="1">
        <v>460</v>
      </c>
      <c r="H27" s="85">
        <f t="shared" si="2"/>
        <v>0</v>
      </c>
    </row>
    <row r="28" spans="1:8" ht="31.5" customHeight="1">
      <c r="A28" s="77" t="s">
        <v>181</v>
      </c>
      <c r="B28" s="88" t="s">
        <v>179</v>
      </c>
      <c r="C28" s="79">
        <v>480</v>
      </c>
      <c r="D28" s="24">
        <f t="shared" si="3"/>
        <v>480</v>
      </c>
      <c r="E28" s="100" t="str">
        <f t="shared" si="0"/>
        <v>-</v>
      </c>
      <c r="F28" s="101">
        <f t="shared" si="1"/>
        <v>1</v>
      </c>
      <c r="G28" s="1">
        <v>480</v>
      </c>
      <c r="H28" s="85">
        <f t="shared" si="2"/>
        <v>0</v>
      </c>
    </row>
    <row r="29" spans="1:8" ht="33" customHeight="1">
      <c r="A29" s="30" t="s">
        <v>15</v>
      </c>
      <c r="B29" s="35" t="s">
        <v>124</v>
      </c>
      <c r="C29" s="79">
        <v>0</v>
      </c>
      <c r="D29" s="24">
        <f t="shared" si="3"/>
        <v>0</v>
      </c>
      <c r="E29" s="100" t="str">
        <f t="shared" si="0"/>
        <v>-</v>
      </c>
      <c r="F29" s="101" t="str">
        <f t="shared" si="1"/>
        <v>-</v>
      </c>
      <c r="G29" s="1">
        <v>0</v>
      </c>
      <c r="H29" s="85">
        <f t="shared" si="2"/>
        <v>0</v>
      </c>
    </row>
    <row r="30" spans="1:8" ht="33" customHeight="1">
      <c r="A30" s="30" t="s">
        <v>121</v>
      </c>
      <c r="B30" s="39" t="s">
        <v>182</v>
      </c>
      <c r="C30" s="79">
        <v>0</v>
      </c>
      <c r="D30" s="24">
        <f t="shared" si="3"/>
        <v>0</v>
      </c>
      <c r="E30" s="100" t="str">
        <f t="shared" si="0"/>
        <v>-</v>
      </c>
      <c r="F30" s="101" t="str">
        <f t="shared" si="1"/>
        <v>-</v>
      </c>
      <c r="G30" s="1">
        <v>0</v>
      </c>
      <c r="H30" s="85">
        <f t="shared" si="2"/>
        <v>0</v>
      </c>
    </row>
    <row r="31" spans="1:8" ht="31.5" customHeight="1">
      <c r="A31" s="77" t="s">
        <v>183</v>
      </c>
      <c r="B31" s="88" t="s">
        <v>199</v>
      </c>
      <c r="C31" s="79">
        <v>0</v>
      </c>
      <c r="D31" s="24">
        <f t="shared" si="3"/>
        <v>0</v>
      </c>
      <c r="E31" s="100" t="str">
        <f t="shared" si="0"/>
        <v>-</v>
      </c>
      <c r="F31" s="101" t="str">
        <f t="shared" si="1"/>
        <v>-</v>
      </c>
      <c r="G31" s="1">
        <v>0</v>
      </c>
      <c r="H31" s="85">
        <f t="shared" si="2"/>
        <v>0</v>
      </c>
    </row>
    <row r="32" spans="1:8" ht="33" customHeight="1">
      <c r="A32" s="30" t="s">
        <v>122</v>
      </c>
      <c r="B32" s="36" t="s">
        <v>125</v>
      </c>
      <c r="C32" s="79">
        <v>276045</v>
      </c>
      <c r="D32" s="24">
        <f>C32-276045</f>
        <v>0</v>
      </c>
      <c r="E32" s="100">
        <f t="shared" si="0"/>
        <v>-276045</v>
      </c>
      <c r="F32" s="101">
        <f t="shared" si="1"/>
        <v>0</v>
      </c>
      <c r="G32" s="1">
        <v>0</v>
      </c>
      <c r="H32" s="85">
        <f t="shared" si="2"/>
        <v>0</v>
      </c>
    </row>
    <row r="33" spans="1:8" ht="33" customHeight="1">
      <c r="A33" s="30" t="s">
        <v>123</v>
      </c>
      <c r="B33" s="39" t="s">
        <v>198</v>
      </c>
      <c r="C33" s="79">
        <v>31390</v>
      </c>
      <c r="D33" s="24">
        <f>C33+12398</f>
        <v>43788</v>
      </c>
      <c r="E33" s="100">
        <f t="shared" si="0"/>
        <v>12398</v>
      </c>
      <c r="F33" s="101">
        <f t="shared" si="1"/>
        <v>1.395</v>
      </c>
      <c r="G33" s="1">
        <v>43788</v>
      </c>
      <c r="H33" s="85">
        <f t="shared" si="2"/>
        <v>0</v>
      </c>
    </row>
    <row r="34" spans="1:8" s="4" customFormat="1" ht="31.5" customHeight="1">
      <c r="A34" s="31" t="s">
        <v>60</v>
      </c>
      <c r="B34" s="37" t="s">
        <v>61</v>
      </c>
      <c r="C34" s="82">
        <v>0</v>
      </c>
      <c r="D34" s="94">
        <f>C34</f>
        <v>0</v>
      </c>
      <c r="E34" s="14" t="str">
        <f t="shared" si="0"/>
        <v>-</v>
      </c>
      <c r="F34" s="102" t="str">
        <f t="shared" si="1"/>
        <v>-</v>
      </c>
      <c r="G34" s="4">
        <v>0</v>
      </c>
      <c r="H34" s="85">
        <f t="shared" si="2"/>
        <v>0</v>
      </c>
    </row>
    <row r="35" spans="1:8" s="4" customFormat="1" ht="31.5" customHeight="1">
      <c r="A35" s="31" t="s">
        <v>59</v>
      </c>
      <c r="B35" s="37" t="s">
        <v>62</v>
      </c>
      <c r="C35" s="82">
        <v>121167</v>
      </c>
      <c r="D35" s="95">
        <f>C35</f>
        <v>121167</v>
      </c>
      <c r="E35" s="14" t="str">
        <f t="shared" si="0"/>
        <v>-</v>
      </c>
      <c r="F35" s="102">
        <f t="shared" si="1"/>
        <v>1</v>
      </c>
      <c r="G35" s="4">
        <v>121167</v>
      </c>
      <c r="H35" s="85">
        <f t="shared" si="2"/>
        <v>0</v>
      </c>
    </row>
    <row r="36" spans="1:8" s="4" customFormat="1" ht="42.75" customHeight="1">
      <c r="A36" s="31" t="s">
        <v>184</v>
      </c>
      <c r="B36" s="37" t="s">
        <v>185</v>
      </c>
      <c r="C36" s="82">
        <f>C12+C14+C25+C31</f>
        <v>774710</v>
      </c>
      <c r="D36" s="82">
        <f>D12+D14+D25+D31</f>
        <v>792986</v>
      </c>
      <c r="E36" s="14">
        <f t="shared" si="0"/>
        <v>18276</v>
      </c>
      <c r="F36" s="102">
        <f t="shared" si="1"/>
        <v>1.0236</v>
      </c>
      <c r="G36" s="4">
        <v>792986</v>
      </c>
      <c r="H36" s="85">
        <f t="shared" si="2"/>
        <v>0</v>
      </c>
    </row>
    <row r="37" spans="1:6" s="2" customFormat="1" ht="30" customHeight="1">
      <c r="A37" s="25" t="s">
        <v>16</v>
      </c>
      <c r="B37" s="44" t="s">
        <v>195</v>
      </c>
      <c r="C37" s="23">
        <f>C38+C39+C40+C48+C50+C56+C57+C55</f>
        <v>28301</v>
      </c>
      <c r="D37" s="23">
        <f>D38+D39+D40+D48+D50+D56+D57+D55</f>
        <v>28301</v>
      </c>
      <c r="E37" s="12" t="str">
        <f t="shared" si="0"/>
        <v>-</v>
      </c>
      <c r="F37" s="103">
        <f t="shared" si="1"/>
        <v>1</v>
      </c>
    </row>
    <row r="38" spans="1:6" ht="28.5" customHeight="1">
      <c r="A38" s="30" t="s">
        <v>17</v>
      </c>
      <c r="B38" s="39" t="s">
        <v>18</v>
      </c>
      <c r="C38" s="79">
        <v>1009</v>
      </c>
      <c r="D38" s="83">
        <f>C38</f>
        <v>1009</v>
      </c>
      <c r="E38" s="100" t="str">
        <f t="shared" si="0"/>
        <v>-</v>
      </c>
      <c r="F38" s="101">
        <f t="shared" si="1"/>
        <v>1</v>
      </c>
    </row>
    <row r="39" spans="1:6" ht="28.5" customHeight="1">
      <c r="A39" s="30" t="s">
        <v>19</v>
      </c>
      <c r="B39" s="39" t="s">
        <v>20</v>
      </c>
      <c r="C39" s="79">
        <v>4286</v>
      </c>
      <c r="D39" s="83">
        <f>C39</f>
        <v>4286</v>
      </c>
      <c r="E39" s="100" t="str">
        <f t="shared" si="0"/>
        <v>-</v>
      </c>
      <c r="F39" s="101">
        <f t="shared" si="1"/>
        <v>1</v>
      </c>
    </row>
    <row r="40" spans="1:6" ht="28.5" customHeight="1">
      <c r="A40" s="30" t="s">
        <v>21</v>
      </c>
      <c r="B40" s="40" t="s">
        <v>32</v>
      </c>
      <c r="C40" s="93">
        <f>C41+C43+C44+C45+C46+C47</f>
        <v>299</v>
      </c>
      <c r="D40" s="83">
        <f>D41+D43+D44+D45+D46+D47</f>
        <v>299</v>
      </c>
      <c r="E40" s="100" t="str">
        <f t="shared" si="0"/>
        <v>-</v>
      </c>
      <c r="F40" s="101">
        <f t="shared" si="1"/>
        <v>1</v>
      </c>
    </row>
    <row r="41" spans="1:6" ht="28.5" customHeight="1">
      <c r="A41" s="41" t="s">
        <v>40</v>
      </c>
      <c r="B41" s="42" t="s">
        <v>33</v>
      </c>
      <c r="C41" s="79">
        <v>12</v>
      </c>
      <c r="D41" s="83">
        <f>C41</f>
        <v>12</v>
      </c>
      <c r="E41" s="100" t="str">
        <f t="shared" si="0"/>
        <v>-</v>
      </c>
      <c r="F41" s="101">
        <f t="shared" si="1"/>
        <v>1</v>
      </c>
    </row>
    <row r="42" spans="1:6" ht="28.5" customHeight="1">
      <c r="A42" s="41" t="s">
        <v>41</v>
      </c>
      <c r="B42" s="43" t="s">
        <v>34</v>
      </c>
      <c r="C42" s="79">
        <v>12</v>
      </c>
      <c r="D42" s="83">
        <f aca="true" t="shared" si="4" ref="D42:D61">C42</f>
        <v>12</v>
      </c>
      <c r="E42" s="100" t="str">
        <f t="shared" si="0"/>
        <v>-</v>
      </c>
      <c r="F42" s="101">
        <f t="shared" si="1"/>
        <v>1</v>
      </c>
    </row>
    <row r="43" spans="1:6" ht="28.5" customHeight="1">
      <c r="A43" s="41" t="s">
        <v>42</v>
      </c>
      <c r="B43" s="42" t="s">
        <v>35</v>
      </c>
      <c r="C43" s="79">
        <v>1</v>
      </c>
      <c r="D43" s="83">
        <f t="shared" si="4"/>
        <v>1</v>
      </c>
      <c r="E43" s="100" t="str">
        <f t="shared" si="0"/>
        <v>-</v>
      </c>
      <c r="F43" s="101">
        <f t="shared" si="1"/>
        <v>1</v>
      </c>
    </row>
    <row r="44" spans="1:6" ht="28.5" customHeight="1">
      <c r="A44" s="41" t="s">
        <v>43</v>
      </c>
      <c r="B44" s="42" t="s">
        <v>36</v>
      </c>
      <c r="C44" s="79">
        <v>0</v>
      </c>
      <c r="D44" s="83">
        <f t="shared" si="4"/>
        <v>0</v>
      </c>
      <c r="E44" s="100" t="str">
        <f t="shared" si="0"/>
        <v>-</v>
      </c>
      <c r="F44" s="101" t="str">
        <f t="shared" si="1"/>
        <v>-</v>
      </c>
    </row>
    <row r="45" spans="1:6" ht="28.5" customHeight="1">
      <c r="A45" s="41" t="s">
        <v>44</v>
      </c>
      <c r="B45" s="42" t="s">
        <v>37</v>
      </c>
      <c r="C45" s="79">
        <v>0</v>
      </c>
      <c r="D45" s="83">
        <f t="shared" si="4"/>
        <v>0</v>
      </c>
      <c r="E45" s="100" t="str">
        <f t="shared" si="0"/>
        <v>-</v>
      </c>
      <c r="F45" s="101" t="str">
        <f t="shared" si="1"/>
        <v>-</v>
      </c>
    </row>
    <row r="46" spans="1:6" ht="28.5" customHeight="1">
      <c r="A46" s="41" t="s">
        <v>45</v>
      </c>
      <c r="B46" s="42" t="s">
        <v>38</v>
      </c>
      <c r="C46" s="79">
        <v>283</v>
      </c>
      <c r="D46" s="83">
        <f t="shared" si="4"/>
        <v>283</v>
      </c>
      <c r="E46" s="100" t="str">
        <f t="shared" si="0"/>
        <v>-</v>
      </c>
      <c r="F46" s="101">
        <f t="shared" si="1"/>
        <v>1</v>
      </c>
    </row>
    <row r="47" spans="1:6" ht="28.5" customHeight="1">
      <c r="A47" s="41" t="s">
        <v>46</v>
      </c>
      <c r="B47" s="42" t="s">
        <v>39</v>
      </c>
      <c r="C47" s="79">
        <v>3</v>
      </c>
      <c r="D47" s="83">
        <f>C47</f>
        <v>3</v>
      </c>
      <c r="E47" s="100" t="str">
        <f t="shared" si="0"/>
        <v>-</v>
      </c>
      <c r="F47" s="101">
        <f t="shared" si="1"/>
        <v>1</v>
      </c>
    </row>
    <row r="48" spans="1:6" ht="28.5" customHeight="1">
      <c r="A48" s="30" t="s">
        <v>22</v>
      </c>
      <c r="B48" s="39" t="s">
        <v>186</v>
      </c>
      <c r="C48" s="79">
        <v>16960</v>
      </c>
      <c r="D48" s="83">
        <f>C48</f>
        <v>16960</v>
      </c>
      <c r="E48" s="100" t="str">
        <f t="shared" si="0"/>
        <v>-</v>
      </c>
      <c r="F48" s="101">
        <f t="shared" si="1"/>
        <v>1</v>
      </c>
    </row>
    <row r="49" spans="1:6" ht="28.5" customHeight="1">
      <c r="A49" s="41" t="s">
        <v>187</v>
      </c>
      <c r="B49" s="42" t="s">
        <v>188</v>
      </c>
      <c r="C49" s="79">
        <v>90</v>
      </c>
      <c r="D49" s="83">
        <f>C49</f>
        <v>90</v>
      </c>
      <c r="E49" s="100" t="str">
        <f t="shared" si="0"/>
        <v>-</v>
      </c>
      <c r="F49" s="101">
        <f t="shared" si="1"/>
        <v>1</v>
      </c>
    </row>
    <row r="50" spans="1:6" ht="28.5" customHeight="1">
      <c r="A50" s="30" t="s">
        <v>23</v>
      </c>
      <c r="B50" s="40" t="s">
        <v>55</v>
      </c>
      <c r="C50" s="93">
        <f>C51+C52+C53+C54</f>
        <v>3761</v>
      </c>
      <c r="D50" s="83">
        <f>D51+D52+D53+D54</f>
        <v>3761</v>
      </c>
      <c r="E50" s="100" t="str">
        <f t="shared" si="0"/>
        <v>-</v>
      </c>
      <c r="F50" s="101">
        <f t="shared" si="1"/>
        <v>1</v>
      </c>
    </row>
    <row r="51" spans="1:6" ht="28.5" customHeight="1">
      <c r="A51" s="41" t="s">
        <v>51</v>
      </c>
      <c r="B51" s="42" t="s">
        <v>47</v>
      </c>
      <c r="C51" s="83">
        <v>2915</v>
      </c>
      <c r="D51" s="83">
        <f t="shared" si="4"/>
        <v>2915</v>
      </c>
      <c r="E51" s="100" t="str">
        <f t="shared" si="0"/>
        <v>-</v>
      </c>
      <c r="F51" s="101">
        <f t="shared" si="1"/>
        <v>1</v>
      </c>
    </row>
    <row r="52" spans="1:6" ht="28.5" customHeight="1">
      <c r="A52" s="41" t="s">
        <v>52</v>
      </c>
      <c r="B52" s="42" t="s">
        <v>48</v>
      </c>
      <c r="C52" s="83">
        <v>416</v>
      </c>
      <c r="D52" s="83">
        <f t="shared" si="4"/>
        <v>416</v>
      </c>
      <c r="E52" s="100" t="str">
        <f t="shared" si="0"/>
        <v>-</v>
      </c>
      <c r="F52" s="101">
        <f t="shared" si="1"/>
        <v>1</v>
      </c>
    </row>
    <row r="53" spans="1:6" ht="28.5" customHeight="1">
      <c r="A53" s="41" t="s">
        <v>53</v>
      </c>
      <c r="B53" s="42" t="s">
        <v>49</v>
      </c>
      <c r="C53" s="83">
        <v>0</v>
      </c>
      <c r="D53" s="83">
        <f t="shared" si="4"/>
        <v>0</v>
      </c>
      <c r="E53" s="100" t="str">
        <f t="shared" si="0"/>
        <v>-</v>
      </c>
      <c r="F53" s="101" t="str">
        <f t="shared" si="1"/>
        <v>-</v>
      </c>
    </row>
    <row r="54" spans="1:6" ht="28.5" customHeight="1">
      <c r="A54" s="41" t="s">
        <v>54</v>
      </c>
      <c r="B54" s="42" t="s">
        <v>50</v>
      </c>
      <c r="C54" s="83">
        <v>430</v>
      </c>
      <c r="D54" s="83">
        <f t="shared" si="4"/>
        <v>430</v>
      </c>
      <c r="E54" s="100" t="str">
        <f t="shared" si="0"/>
        <v>-</v>
      </c>
      <c r="F54" s="101">
        <f t="shared" si="1"/>
        <v>1</v>
      </c>
    </row>
    <row r="55" spans="1:6" ht="28.5" customHeight="1">
      <c r="A55" s="30" t="s">
        <v>24</v>
      </c>
      <c r="B55" s="39" t="s">
        <v>25</v>
      </c>
      <c r="C55" s="79">
        <v>0</v>
      </c>
      <c r="D55" s="83">
        <f>C55</f>
        <v>0</v>
      </c>
      <c r="E55" s="100" t="str">
        <f t="shared" si="0"/>
        <v>-</v>
      </c>
      <c r="F55" s="101" t="str">
        <f t="shared" si="1"/>
        <v>-</v>
      </c>
    </row>
    <row r="56" spans="1:6" ht="28.5" customHeight="1">
      <c r="A56" s="30" t="s">
        <v>26</v>
      </c>
      <c r="B56" s="39" t="s">
        <v>189</v>
      </c>
      <c r="C56" s="79">
        <v>1860</v>
      </c>
      <c r="D56" s="83">
        <f>C56</f>
        <v>1860</v>
      </c>
      <c r="E56" s="100" t="str">
        <f t="shared" si="0"/>
        <v>-</v>
      </c>
      <c r="F56" s="104">
        <f t="shared" si="1"/>
        <v>1</v>
      </c>
    </row>
    <row r="57" spans="1:6" ht="28.5" customHeight="1">
      <c r="A57" s="30" t="s">
        <v>27</v>
      </c>
      <c r="B57" s="39" t="s">
        <v>28</v>
      </c>
      <c r="C57" s="79">
        <v>126</v>
      </c>
      <c r="D57" s="83">
        <f>C57</f>
        <v>126</v>
      </c>
      <c r="E57" s="100" t="str">
        <f t="shared" si="0"/>
        <v>-</v>
      </c>
      <c r="F57" s="101">
        <f t="shared" si="1"/>
        <v>1</v>
      </c>
    </row>
    <row r="58" spans="1:6" s="2" customFormat="1" ht="30" customHeight="1">
      <c r="A58" s="32" t="s">
        <v>29</v>
      </c>
      <c r="B58" s="44" t="s">
        <v>190</v>
      </c>
      <c r="C58" s="81">
        <f>C59+C60+C61+C62</f>
        <v>31150</v>
      </c>
      <c r="D58" s="26">
        <f>D59+D60+D61+D62</f>
        <v>31150</v>
      </c>
      <c r="E58" s="12" t="str">
        <f t="shared" si="0"/>
        <v>-</v>
      </c>
      <c r="F58" s="105">
        <f t="shared" si="1"/>
        <v>1</v>
      </c>
    </row>
    <row r="59" spans="1:6" ht="42" customHeight="1">
      <c r="A59" s="30" t="s">
        <v>104</v>
      </c>
      <c r="B59" s="39" t="s">
        <v>126</v>
      </c>
      <c r="C59" s="79">
        <v>12</v>
      </c>
      <c r="D59" s="83">
        <f t="shared" si="4"/>
        <v>12</v>
      </c>
      <c r="E59" s="75" t="str">
        <f t="shared" si="0"/>
        <v>-</v>
      </c>
      <c r="F59" s="101">
        <f t="shared" si="1"/>
        <v>1</v>
      </c>
    </row>
    <row r="60" spans="1:6" ht="31.5" customHeight="1">
      <c r="A60" s="30" t="s">
        <v>30</v>
      </c>
      <c r="B60" s="39" t="s">
        <v>57</v>
      </c>
      <c r="C60" s="79">
        <v>30688</v>
      </c>
      <c r="D60" s="83">
        <f t="shared" si="4"/>
        <v>30688</v>
      </c>
      <c r="E60" s="75" t="str">
        <f t="shared" si="0"/>
        <v>-</v>
      </c>
      <c r="F60" s="101">
        <f t="shared" si="1"/>
        <v>1</v>
      </c>
    </row>
    <row r="61" spans="1:6" ht="31.5" customHeight="1">
      <c r="A61" s="30" t="s">
        <v>31</v>
      </c>
      <c r="B61" s="39" t="s">
        <v>106</v>
      </c>
      <c r="C61" s="79">
        <v>0</v>
      </c>
      <c r="D61" s="83">
        <f t="shared" si="4"/>
        <v>0</v>
      </c>
      <c r="E61" s="75" t="str">
        <f t="shared" si="0"/>
        <v>-</v>
      </c>
      <c r="F61" s="101" t="str">
        <f t="shared" si="1"/>
        <v>-</v>
      </c>
    </row>
    <row r="62" spans="1:6" ht="31.5" customHeight="1">
      <c r="A62" s="30" t="s">
        <v>105</v>
      </c>
      <c r="B62" s="39" t="s">
        <v>107</v>
      </c>
      <c r="C62" s="79">
        <v>450</v>
      </c>
      <c r="D62" s="83">
        <f>C62</f>
        <v>450</v>
      </c>
      <c r="E62" s="75" t="str">
        <f t="shared" si="0"/>
        <v>-</v>
      </c>
      <c r="F62" s="101">
        <f t="shared" si="1"/>
        <v>1</v>
      </c>
    </row>
    <row r="63" spans="1:6" ht="32.25" customHeight="1">
      <c r="A63" s="32" t="s">
        <v>112</v>
      </c>
      <c r="B63" s="44" t="s">
        <v>133</v>
      </c>
      <c r="C63" s="81">
        <v>6591</v>
      </c>
      <c r="D63" s="26">
        <f>C63</f>
        <v>6591</v>
      </c>
      <c r="E63" s="12" t="str">
        <f t="shared" si="0"/>
        <v>-</v>
      </c>
      <c r="F63" s="105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63"/>
  <sheetViews>
    <sheetView showGridLines="0" view="pageBreakPreview" zoomScale="55" zoomScaleNormal="70" zoomScaleSheetLayoutView="55" zoomScalePageLayoutView="0" workbookViewId="0" topLeftCell="A1">
      <pane xSplit="1" ySplit="7" topLeftCell="B20" activePane="bottomRight" state="frozen"/>
      <selection pane="topLeft" activeCell="A2" sqref="A2:B2"/>
      <selection pane="topRight" activeCell="A2" sqref="A2:B2"/>
      <selection pane="bottomLeft" activeCell="A2" sqref="A2:B2"/>
      <selection pane="bottomRight" activeCell="A2" sqref="A2:B2"/>
    </sheetView>
  </sheetViews>
  <sheetFormatPr defaultColWidth="9.00390625" defaultRowHeight="12.75"/>
  <cols>
    <col min="1" max="1" width="9.125" style="1" customWidth="1"/>
    <col min="2" max="2" width="125.875" style="1" customWidth="1"/>
    <col min="3" max="3" width="25.75390625" style="1" customWidth="1"/>
    <col min="4" max="4" width="26.875" style="1" customWidth="1"/>
    <col min="5" max="6" width="20.75390625" style="1" customWidth="1"/>
    <col min="7" max="7" width="9.125" style="1" customWidth="1"/>
    <col min="8" max="8" width="9.375" style="1" bestFit="1" customWidth="1"/>
    <col min="9" max="16384" width="9.125" style="1" customWidth="1"/>
  </cols>
  <sheetData>
    <row r="1" spans="1:6" s="47" customFormat="1" ht="54.75" customHeight="1">
      <c r="A1" s="119" t="str">
        <f>NFZ!A1</f>
        <v>URUCHOMIENIE REZERWY NA KOSZTY ŚWIADCZEŃ OPIEKI ZDROWOTNEJ W RAMACH MIGRACJI UBEZPIECZONYCH Z DNIA 30 SIERPNIA 2012 R. W PLANIE FINANSOWYM NARODOWEGO FUNDUSZU ZDROWIA NA 2013 ROK</v>
      </c>
      <c r="B1" s="119"/>
      <c r="C1" s="119"/>
      <c r="D1" s="119"/>
      <c r="E1" s="119"/>
      <c r="F1" s="119"/>
    </row>
    <row r="2" spans="1:3" s="49" customFormat="1" ht="33" customHeight="1">
      <c r="A2" s="87" t="s">
        <v>68</v>
      </c>
      <c r="B2" s="87"/>
      <c r="C2" s="96"/>
    </row>
    <row r="3" spans="1:6" ht="33" customHeight="1">
      <c r="A3" s="7"/>
      <c r="B3" s="8"/>
      <c r="C3" s="86"/>
      <c r="D3" s="86"/>
      <c r="E3" s="86" t="s">
        <v>166</v>
      </c>
      <c r="F3" s="9"/>
    </row>
    <row r="4" spans="1:6" s="5" customFormat="1" ht="45" customHeight="1">
      <c r="A4" s="114" t="s">
        <v>137</v>
      </c>
      <c r="B4" s="114" t="s">
        <v>56</v>
      </c>
      <c r="C4" s="115" t="s">
        <v>206</v>
      </c>
      <c r="D4" s="115" t="s">
        <v>203</v>
      </c>
      <c r="E4" s="118" t="s">
        <v>204</v>
      </c>
      <c r="F4" s="118" t="s">
        <v>205</v>
      </c>
    </row>
    <row r="5" spans="1:6" s="5" customFormat="1" ht="45" customHeight="1">
      <c r="A5" s="114"/>
      <c r="B5" s="114"/>
      <c r="C5" s="116"/>
      <c r="D5" s="116"/>
      <c r="E5" s="118"/>
      <c r="F5" s="118"/>
    </row>
    <row r="6" spans="1:6" s="3" customFormat="1" ht="14.25">
      <c r="A6" s="46">
        <v>1</v>
      </c>
      <c r="B6" s="51">
        <v>2</v>
      </c>
      <c r="C6" s="46">
        <v>3</v>
      </c>
      <c r="D6" s="51">
        <v>4</v>
      </c>
      <c r="E6" s="46">
        <v>5</v>
      </c>
      <c r="F6" s="51">
        <v>6</v>
      </c>
    </row>
    <row r="7" spans="1:6" s="2" customFormat="1" ht="30" customHeight="1">
      <c r="A7" s="22" t="s">
        <v>0</v>
      </c>
      <c r="B7" s="38" t="s">
        <v>174</v>
      </c>
      <c r="C7" s="97">
        <f>C8+C9+C10+C15+C16+C17+C18+C19+C20+C21+C22+C23+C24+C25+C29+C30+C32+C33</f>
        <v>5301676</v>
      </c>
      <c r="D7" s="15">
        <f>D8+D9+D10+D15+D16+D17+D18+D19+D20+D21+D22+D23+D24+D25+D29+D30+D32+D33</f>
        <v>5301676</v>
      </c>
      <c r="E7" s="12" t="str">
        <f>IF(C7=D7,"-",D7-C7)</f>
        <v>-</v>
      </c>
      <c r="F7" s="99">
        <f>IF(C7=0,"-",D7/C7)</f>
        <v>1</v>
      </c>
    </row>
    <row r="8" spans="1:8" ht="33" customHeight="1">
      <c r="A8" s="28" t="s">
        <v>1</v>
      </c>
      <c r="B8" s="76" t="s">
        <v>138</v>
      </c>
      <c r="C8" s="79">
        <v>643600</v>
      </c>
      <c r="D8" s="24">
        <f>C8</f>
        <v>643600</v>
      </c>
      <c r="E8" s="100" t="str">
        <f aca="true" t="shared" si="0" ref="E8:E63">IF(C8=D8,"-",D8-C8)</f>
        <v>-</v>
      </c>
      <c r="F8" s="101">
        <f aca="true" t="shared" si="1" ref="F8:F63">IF(C8=0,"-",D8/C8)</f>
        <v>1</v>
      </c>
      <c r="G8" s="1">
        <v>643600</v>
      </c>
      <c r="H8" s="85">
        <f>D8-G8</f>
        <v>0</v>
      </c>
    </row>
    <row r="9" spans="1:8" ht="33" customHeight="1">
      <c r="A9" s="28" t="s">
        <v>2</v>
      </c>
      <c r="B9" s="76" t="s">
        <v>139</v>
      </c>
      <c r="C9" s="79">
        <v>434125</v>
      </c>
      <c r="D9" s="24">
        <f>C9+16314</f>
        <v>450439</v>
      </c>
      <c r="E9" s="100">
        <f t="shared" si="0"/>
        <v>16314</v>
      </c>
      <c r="F9" s="101">
        <f t="shared" si="1"/>
        <v>1.0376</v>
      </c>
      <c r="G9" s="1">
        <v>450439</v>
      </c>
      <c r="H9" s="85">
        <f aca="true" t="shared" si="2" ref="H9:H36">D9-G9</f>
        <v>0</v>
      </c>
    </row>
    <row r="10" spans="1:8" ht="33" customHeight="1">
      <c r="A10" s="28" t="s">
        <v>3</v>
      </c>
      <c r="B10" s="76" t="s">
        <v>136</v>
      </c>
      <c r="C10" s="79">
        <v>2333495</v>
      </c>
      <c r="D10" s="24">
        <f>C10+169074+1258+10958+5374+6699</f>
        <v>2526858</v>
      </c>
      <c r="E10" s="100">
        <f t="shared" si="0"/>
        <v>193363</v>
      </c>
      <c r="F10" s="101">
        <f t="shared" si="1"/>
        <v>1.0829</v>
      </c>
      <c r="G10" s="1">
        <v>2526858</v>
      </c>
      <c r="H10" s="85">
        <f t="shared" si="2"/>
        <v>0</v>
      </c>
    </row>
    <row r="11" spans="1:8" ht="31.5" customHeight="1">
      <c r="A11" s="77" t="s">
        <v>58</v>
      </c>
      <c r="B11" s="88" t="s">
        <v>167</v>
      </c>
      <c r="C11" s="79">
        <v>192505</v>
      </c>
      <c r="D11" s="24">
        <f>C11+1258+10958</f>
        <v>204721</v>
      </c>
      <c r="E11" s="100">
        <f t="shared" si="0"/>
        <v>12216</v>
      </c>
      <c r="F11" s="101">
        <f t="shared" si="1"/>
        <v>1.0635</v>
      </c>
      <c r="G11" s="1">
        <v>204721</v>
      </c>
      <c r="H11" s="85">
        <f t="shared" si="2"/>
        <v>0</v>
      </c>
    </row>
    <row r="12" spans="1:8" ht="31.5" customHeight="1">
      <c r="A12" s="77" t="s">
        <v>168</v>
      </c>
      <c r="B12" s="88" t="s">
        <v>171</v>
      </c>
      <c r="C12" s="79">
        <v>174900</v>
      </c>
      <c r="D12" s="24">
        <f>C12+10958</f>
        <v>185858</v>
      </c>
      <c r="E12" s="100">
        <f t="shared" si="0"/>
        <v>10958</v>
      </c>
      <c r="F12" s="101">
        <f t="shared" si="1"/>
        <v>1.0627</v>
      </c>
      <c r="G12" s="1">
        <v>185858</v>
      </c>
      <c r="H12" s="85">
        <f t="shared" si="2"/>
        <v>0</v>
      </c>
    </row>
    <row r="13" spans="1:8" ht="31.5" customHeight="1">
      <c r="A13" s="77" t="s">
        <v>169</v>
      </c>
      <c r="B13" s="88" t="s">
        <v>172</v>
      </c>
      <c r="C13" s="79">
        <v>102030</v>
      </c>
      <c r="D13" s="24">
        <f>C13+5374+6699</f>
        <v>114103</v>
      </c>
      <c r="E13" s="100">
        <f t="shared" si="0"/>
        <v>12073</v>
      </c>
      <c r="F13" s="101">
        <f t="shared" si="1"/>
        <v>1.1183</v>
      </c>
      <c r="G13" s="1">
        <v>114103</v>
      </c>
      <c r="H13" s="85">
        <f t="shared" si="2"/>
        <v>0</v>
      </c>
    </row>
    <row r="14" spans="1:8" ht="31.5" customHeight="1">
      <c r="A14" s="77" t="s">
        <v>170</v>
      </c>
      <c r="B14" s="88" t="s">
        <v>173</v>
      </c>
      <c r="C14" s="79">
        <v>53995</v>
      </c>
      <c r="D14" s="24">
        <f>C14+6699</f>
        <v>60694</v>
      </c>
      <c r="E14" s="100">
        <f t="shared" si="0"/>
        <v>6699</v>
      </c>
      <c r="F14" s="101">
        <f t="shared" si="1"/>
        <v>1.1241</v>
      </c>
      <c r="G14" s="1">
        <v>60694</v>
      </c>
      <c r="H14" s="85">
        <f t="shared" si="2"/>
        <v>0</v>
      </c>
    </row>
    <row r="15" spans="1:8" ht="33" customHeight="1">
      <c r="A15" s="28" t="s">
        <v>4</v>
      </c>
      <c r="B15" s="76" t="s">
        <v>144</v>
      </c>
      <c r="C15" s="79">
        <v>148818</v>
      </c>
      <c r="D15" s="24">
        <f>C15+18310</f>
        <v>167128</v>
      </c>
      <c r="E15" s="100">
        <f t="shared" si="0"/>
        <v>18310</v>
      </c>
      <c r="F15" s="101">
        <f t="shared" si="1"/>
        <v>1.123</v>
      </c>
      <c r="G15" s="1">
        <v>167128</v>
      </c>
      <c r="H15" s="85">
        <f t="shared" si="2"/>
        <v>0</v>
      </c>
    </row>
    <row r="16" spans="1:8" ht="33" customHeight="1">
      <c r="A16" s="28" t="s">
        <v>5</v>
      </c>
      <c r="B16" s="76" t="s">
        <v>140</v>
      </c>
      <c r="C16" s="79">
        <v>169454</v>
      </c>
      <c r="D16" s="24">
        <f>C16+9635</f>
        <v>179089</v>
      </c>
      <c r="E16" s="100">
        <f t="shared" si="0"/>
        <v>9635</v>
      </c>
      <c r="F16" s="101">
        <f t="shared" si="1"/>
        <v>1.0569</v>
      </c>
      <c r="G16" s="1">
        <v>179089</v>
      </c>
      <c r="H16" s="85">
        <f t="shared" si="2"/>
        <v>0</v>
      </c>
    </row>
    <row r="17" spans="1:8" ht="33" customHeight="1">
      <c r="A17" s="28" t="s">
        <v>6</v>
      </c>
      <c r="B17" s="76" t="s">
        <v>146</v>
      </c>
      <c r="C17" s="79">
        <v>111272</v>
      </c>
      <c r="D17" s="24">
        <f>C17+2987</f>
        <v>114259</v>
      </c>
      <c r="E17" s="100">
        <f t="shared" si="0"/>
        <v>2987</v>
      </c>
      <c r="F17" s="101">
        <f t="shared" si="1"/>
        <v>1.0268</v>
      </c>
      <c r="G17" s="1">
        <v>114259</v>
      </c>
      <c r="H17" s="85">
        <f t="shared" si="2"/>
        <v>0</v>
      </c>
    </row>
    <row r="18" spans="1:8" ht="33" customHeight="1">
      <c r="A18" s="28" t="s">
        <v>7</v>
      </c>
      <c r="B18" s="76" t="s">
        <v>145</v>
      </c>
      <c r="C18" s="79">
        <v>30251</v>
      </c>
      <c r="D18" s="24">
        <f>C18+860</f>
        <v>31111</v>
      </c>
      <c r="E18" s="100">
        <f t="shared" si="0"/>
        <v>860</v>
      </c>
      <c r="F18" s="101">
        <f t="shared" si="1"/>
        <v>1.0284</v>
      </c>
      <c r="G18" s="1">
        <v>31111</v>
      </c>
      <c r="H18" s="85">
        <f t="shared" si="2"/>
        <v>0</v>
      </c>
    </row>
    <row r="19" spans="1:8" ht="33" customHeight="1">
      <c r="A19" s="28" t="s">
        <v>8</v>
      </c>
      <c r="B19" s="76" t="s">
        <v>141</v>
      </c>
      <c r="C19" s="79">
        <v>178846</v>
      </c>
      <c r="D19" s="24">
        <f>C19+2714</f>
        <v>181560</v>
      </c>
      <c r="E19" s="100">
        <f t="shared" si="0"/>
        <v>2714</v>
      </c>
      <c r="F19" s="101">
        <f t="shared" si="1"/>
        <v>1.0152</v>
      </c>
      <c r="G19" s="1">
        <v>181560</v>
      </c>
      <c r="H19" s="85">
        <f t="shared" si="2"/>
        <v>0</v>
      </c>
    </row>
    <row r="20" spans="1:8" ht="33" customHeight="1">
      <c r="A20" s="28" t="s">
        <v>9</v>
      </c>
      <c r="B20" s="76" t="s">
        <v>142</v>
      </c>
      <c r="C20" s="79">
        <v>49500</v>
      </c>
      <c r="D20" s="24">
        <f>C20</f>
        <v>49500</v>
      </c>
      <c r="E20" s="100" t="str">
        <f t="shared" si="0"/>
        <v>-</v>
      </c>
      <c r="F20" s="101">
        <f t="shared" si="1"/>
        <v>1</v>
      </c>
      <c r="G20" s="1">
        <v>49500</v>
      </c>
      <c r="H20" s="85">
        <f t="shared" si="2"/>
        <v>0</v>
      </c>
    </row>
    <row r="21" spans="1:8" ht="33" customHeight="1">
      <c r="A21" s="28" t="s">
        <v>10</v>
      </c>
      <c r="B21" s="76" t="s">
        <v>147</v>
      </c>
      <c r="C21" s="79">
        <v>1701</v>
      </c>
      <c r="D21" s="24">
        <f>C21</f>
        <v>1701</v>
      </c>
      <c r="E21" s="100" t="str">
        <f t="shared" si="0"/>
        <v>-</v>
      </c>
      <c r="F21" s="101">
        <f t="shared" si="1"/>
        <v>1</v>
      </c>
      <c r="G21" s="1">
        <v>1701</v>
      </c>
      <c r="H21" s="85">
        <f t="shared" si="2"/>
        <v>0</v>
      </c>
    </row>
    <row r="22" spans="1:8" ht="46.5" customHeight="1">
      <c r="A22" s="28" t="s">
        <v>11</v>
      </c>
      <c r="B22" s="76" t="s">
        <v>143</v>
      </c>
      <c r="C22" s="79">
        <v>10810</v>
      </c>
      <c r="D22" s="24">
        <f>C22+897</f>
        <v>11707</v>
      </c>
      <c r="E22" s="100">
        <f t="shared" si="0"/>
        <v>897</v>
      </c>
      <c r="F22" s="101">
        <f t="shared" si="1"/>
        <v>1.083</v>
      </c>
      <c r="G22" s="1">
        <v>11707</v>
      </c>
      <c r="H22" s="85">
        <f t="shared" si="2"/>
        <v>0</v>
      </c>
    </row>
    <row r="23" spans="1:8" ht="33" customHeight="1">
      <c r="A23" s="28" t="s">
        <v>12</v>
      </c>
      <c r="B23" s="76" t="s">
        <v>197</v>
      </c>
      <c r="C23" s="79">
        <v>136225</v>
      </c>
      <c r="D23" s="24">
        <f>C23+8765</f>
        <v>144990</v>
      </c>
      <c r="E23" s="100">
        <f t="shared" si="0"/>
        <v>8765</v>
      </c>
      <c r="F23" s="101">
        <f t="shared" si="1"/>
        <v>1.0643</v>
      </c>
      <c r="G23" s="1">
        <v>144990</v>
      </c>
      <c r="H23" s="85">
        <f t="shared" si="2"/>
        <v>0</v>
      </c>
    </row>
    <row r="24" spans="1:8" ht="33" customHeight="1">
      <c r="A24" s="28" t="s">
        <v>13</v>
      </c>
      <c r="B24" s="76" t="s">
        <v>175</v>
      </c>
      <c r="C24" s="79">
        <v>69200</v>
      </c>
      <c r="D24" s="24">
        <f aca="true" t="shared" si="3" ref="D24:D31">C24</f>
        <v>69200</v>
      </c>
      <c r="E24" s="100" t="str">
        <f t="shared" si="0"/>
        <v>-</v>
      </c>
      <c r="F24" s="101">
        <f t="shared" si="1"/>
        <v>1</v>
      </c>
      <c r="G24" s="1">
        <v>69200</v>
      </c>
      <c r="H24" s="85">
        <f t="shared" si="2"/>
        <v>0</v>
      </c>
    </row>
    <row r="25" spans="1:8" ht="33" customHeight="1">
      <c r="A25" s="29" t="s">
        <v>14</v>
      </c>
      <c r="B25" s="76" t="s">
        <v>176</v>
      </c>
      <c r="C25" s="79">
        <v>718006</v>
      </c>
      <c r="D25" s="24">
        <f t="shared" si="3"/>
        <v>718006</v>
      </c>
      <c r="E25" s="100" t="str">
        <f t="shared" si="0"/>
        <v>-</v>
      </c>
      <c r="F25" s="101">
        <f t="shared" si="1"/>
        <v>1</v>
      </c>
      <c r="G25" s="1">
        <v>718006</v>
      </c>
      <c r="H25" s="85">
        <f t="shared" si="2"/>
        <v>0</v>
      </c>
    </row>
    <row r="26" spans="1:8" ht="31.5">
      <c r="A26" s="27" t="s">
        <v>148</v>
      </c>
      <c r="B26" s="88" t="s">
        <v>178</v>
      </c>
      <c r="C26" s="79">
        <v>714006</v>
      </c>
      <c r="D26" s="24">
        <f t="shared" si="3"/>
        <v>714006</v>
      </c>
      <c r="E26" s="100" t="str">
        <f t="shared" si="0"/>
        <v>-</v>
      </c>
      <c r="F26" s="101">
        <f t="shared" si="1"/>
        <v>1</v>
      </c>
      <c r="G26" s="1">
        <v>714006</v>
      </c>
      <c r="H26" s="85">
        <f t="shared" si="2"/>
        <v>0</v>
      </c>
    </row>
    <row r="27" spans="1:8" ht="31.5" customHeight="1">
      <c r="A27" s="77" t="s">
        <v>177</v>
      </c>
      <c r="B27" s="88" t="s">
        <v>180</v>
      </c>
      <c r="C27" s="79">
        <v>3000</v>
      </c>
      <c r="D27" s="24">
        <f t="shared" si="3"/>
        <v>3000</v>
      </c>
      <c r="E27" s="100" t="str">
        <f t="shared" si="0"/>
        <v>-</v>
      </c>
      <c r="F27" s="101">
        <f t="shared" si="1"/>
        <v>1</v>
      </c>
      <c r="G27" s="1">
        <v>3000</v>
      </c>
      <c r="H27" s="85">
        <f t="shared" si="2"/>
        <v>0</v>
      </c>
    </row>
    <row r="28" spans="1:8" ht="31.5" customHeight="1">
      <c r="A28" s="77" t="s">
        <v>181</v>
      </c>
      <c r="B28" s="88" t="s">
        <v>179</v>
      </c>
      <c r="C28" s="79">
        <v>1000</v>
      </c>
      <c r="D28" s="24">
        <f t="shared" si="3"/>
        <v>1000</v>
      </c>
      <c r="E28" s="100" t="str">
        <f t="shared" si="0"/>
        <v>-</v>
      </c>
      <c r="F28" s="101">
        <f t="shared" si="1"/>
        <v>1</v>
      </c>
      <c r="G28" s="1">
        <v>1000</v>
      </c>
      <c r="H28" s="85">
        <f t="shared" si="2"/>
        <v>0</v>
      </c>
    </row>
    <row r="29" spans="1:8" ht="33" customHeight="1">
      <c r="A29" s="30" t="s">
        <v>15</v>
      </c>
      <c r="B29" s="35" t="s">
        <v>124</v>
      </c>
      <c r="C29" s="79">
        <v>0</v>
      </c>
      <c r="D29" s="24">
        <f t="shared" si="3"/>
        <v>0</v>
      </c>
      <c r="E29" s="100" t="str">
        <f t="shared" si="0"/>
        <v>-</v>
      </c>
      <c r="F29" s="101" t="str">
        <f t="shared" si="1"/>
        <v>-</v>
      </c>
      <c r="G29" s="1">
        <v>0</v>
      </c>
      <c r="H29" s="85">
        <f t="shared" si="2"/>
        <v>0</v>
      </c>
    </row>
    <row r="30" spans="1:8" ht="33" customHeight="1">
      <c r="A30" s="30" t="s">
        <v>121</v>
      </c>
      <c r="B30" s="39" t="s">
        <v>182</v>
      </c>
      <c r="C30" s="79">
        <v>0</v>
      </c>
      <c r="D30" s="24">
        <f t="shared" si="3"/>
        <v>0</v>
      </c>
      <c r="E30" s="100" t="str">
        <f t="shared" si="0"/>
        <v>-</v>
      </c>
      <c r="F30" s="101" t="str">
        <f t="shared" si="1"/>
        <v>-</v>
      </c>
      <c r="G30" s="1">
        <v>0</v>
      </c>
      <c r="H30" s="85">
        <f t="shared" si="2"/>
        <v>0</v>
      </c>
    </row>
    <row r="31" spans="1:8" ht="31.5" customHeight="1">
      <c r="A31" s="77" t="s">
        <v>183</v>
      </c>
      <c r="B31" s="88" t="s">
        <v>199</v>
      </c>
      <c r="C31" s="79">
        <v>0</v>
      </c>
      <c r="D31" s="24">
        <f t="shared" si="3"/>
        <v>0</v>
      </c>
      <c r="E31" s="100" t="str">
        <f t="shared" si="0"/>
        <v>-</v>
      </c>
      <c r="F31" s="101" t="str">
        <f t="shared" si="1"/>
        <v>-</v>
      </c>
      <c r="G31" s="1">
        <v>0</v>
      </c>
      <c r="H31" s="85">
        <f t="shared" si="2"/>
        <v>0</v>
      </c>
    </row>
    <row r="32" spans="1:8" ht="33" customHeight="1">
      <c r="A32" s="30" t="s">
        <v>122</v>
      </c>
      <c r="B32" s="36" t="s">
        <v>125</v>
      </c>
      <c r="C32" s="79">
        <v>263373</v>
      </c>
      <c r="D32" s="24">
        <f>C32-263373</f>
        <v>0</v>
      </c>
      <c r="E32" s="100">
        <f t="shared" si="0"/>
        <v>-263373</v>
      </c>
      <c r="F32" s="101">
        <f t="shared" si="1"/>
        <v>0</v>
      </c>
      <c r="G32" s="1">
        <v>0</v>
      </c>
      <c r="H32" s="85">
        <f t="shared" si="2"/>
        <v>0</v>
      </c>
    </row>
    <row r="33" spans="1:8" ht="33" customHeight="1">
      <c r="A33" s="30" t="s">
        <v>123</v>
      </c>
      <c r="B33" s="39" t="s">
        <v>198</v>
      </c>
      <c r="C33" s="79">
        <v>3000</v>
      </c>
      <c r="D33" s="24">
        <f>C33+9528</f>
        <v>12528</v>
      </c>
      <c r="E33" s="100">
        <f t="shared" si="0"/>
        <v>9528</v>
      </c>
      <c r="F33" s="101">
        <f t="shared" si="1"/>
        <v>4.176</v>
      </c>
      <c r="G33" s="1">
        <v>12528</v>
      </c>
      <c r="H33" s="85">
        <f t="shared" si="2"/>
        <v>0</v>
      </c>
    </row>
    <row r="34" spans="1:8" s="4" customFormat="1" ht="31.5" customHeight="1">
      <c r="A34" s="31" t="s">
        <v>60</v>
      </c>
      <c r="B34" s="37" t="s">
        <v>61</v>
      </c>
      <c r="C34" s="82">
        <v>0</v>
      </c>
      <c r="D34" s="94">
        <f>C34</f>
        <v>0</v>
      </c>
      <c r="E34" s="14" t="str">
        <f t="shared" si="0"/>
        <v>-</v>
      </c>
      <c r="F34" s="102" t="str">
        <f t="shared" si="1"/>
        <v>-</v>
      </c>
      <c r="G34" s="4">
        <v>0</v>
      </c>
      <c r="H34" s="85">
        <f t="shared" si="2"/>
        <v>0</v>
      </c>
    </row>
    <row r="35" spans="1:8" s="4" customFormat="1" ht="31.5" customHeight="1">
      <c r="A35" s="31" t="s">
        <v>59</v>
      </c>
      <c r="B35" s="37" t="s">
        <v>62</v>
      </c>
      <c r="C35" s="82">
        <v>138356</v>
      </c>
      <c r="D35" s="95">
        <f>C35</f>
        <v>138356</v>
      </c>
      <c r="E35" s="14" t="str">
        <f t="shared" si="0"/>
        <v>-</v>
      </c>
      <c r="F35" s="102">
        <f t="shared" si="1"/>
        <v>1</v>
      </c>
      <c r="G35" s="4">
        <v>138356</v>
      </c>
      <c r="H35" s="85">
        <f t="shared" si="2"/>
        <v>0</v>
      </c>
    </row>
    <row r="36" spans="1:8" s="4" customFormat="1" ht="42.75" customHeight="1">
      <c r="A36" s="31" t="s">
        <v>184</v>
      </c>
      <c r="B36" s="37" t="s">
        <v>185</v>
      </c>
      <c r="C36" s="82">
        <f>C12+C14+C25+C31</f>
        <v>946901</v>
      </c>
      <c r="D36" s="82">
        <f>D12+D14+D25+D31</f>
        <v>964558</v>
      </c>
      <c r="E36" s="14">
        <f t="shared" si="0"/>
        <v>17657</v>
      </c>
      <c r="F36" s="102">
        <f t="shared" si="1"/>
        <v>1.0186</v>
      </c>
      <c r="G36" s="4">
        <v>964558</v>
      </c>
      <c r="H36" s="85">
        <f t="shared" si="2"/>
        <v>0</v>
      </c>
    </row>
    <row r="37" spans="1:6" s="2" customFormat="1" ht="30" customHeight="1">
      <c r="A37" s="25" t="s">
        <v>16</v>
      </c>
      <c r="B37" s="44" t="s">
        <v>195</v>
      </c>
      <c r="C37" s="23">
        <f>C38+C39+C40+C48+C50+C56+C57+C55</f>
        <v>38375</v>
      </c>
      <c r="D37" s="23">
        <f>D38+D39+D40+D48+D50+D56+D57+D55</f>
        <v>38375</v>
      </c>
      <c r="E37" s="12" t="str">
        <f t="shared" si="0"/>
        <v>-</v>
      </c>
      <c r="F37" s="103">
        <f t="shared" si="1"/>
        <v>1</v>
      </c>
    </row>
    <row r="38" spans="1:6" ht="28.5" customHeight="1">
      <c r="A38" s="30" t="s">
        <v>17</v>
      </c>
      <c r="B38" s="39" t="s">
        <v>18</v>
      </c>
      <c r="C38" s="79">
        <v>1546</v>
      </c>
      <c r="D38" s="83">
        <f>C38</f>
        <v>1546</v>
      </c>
      <c r="E38" s="100" t="str">
        <f t="shared" si="0"/>
        <v>-</v>
      </c>
      <c r="F38" s="101">
        <f t="shared" si="1"/>
        <v>1</v>
      </c>
    </row>
    <row r="39" spans="1:6" ht="28.5" customHeight="1">
      <c r="A39" s="30" t="s">
        <v>19</v>
      </c>
      <c r="B39" s="39" t="s">
        <v>20</v>
      </c>
      <c r="C39" s="79">
        <v>4624</v>
      </c>
      <c r="D39" s="83">
        <f>C39</f>
        <v>4624</v>
      </c>
      <c r="E39" s="100" t="str">
        <f t="shared" si="0"/>
        <v>-</v>
      </c>
      <c r="F39" s="101">
        <f t="shared" si="1"/>
        <v>1</v>
      </c>
    </row>
    <row r="40" spans="1:6" ht="28.5" customHeight="1">
      <c r="A40" s="30" t="s">
        <v>21</v>
      </c>
      <c r="B40" s="40" t="s">
        <v>32</v>
      </c>
      <c r="C40" s="93">
        <f>C41+C43+C44+C45+C46+C47</f>
        <v>245</v>
      </c>
      <c r="D40" s="83">
        <f>D41+D43+D44+D45+D46+D47</f>
        <v>245</v>
      </c>
      <c r="E40" s="100" t="str">
        <f t="shared" si="0"/>
        <v>-</v>
      </c>
      <c r="F40" s="101">
        <f t="shared" si="1"/>
        <v>1</v>
      </c>
    </row>
    <row r="41" spans="1:6" ht="28.5" customHeight="1">
      <c r="A41" s="41" t="s">
        <v>40</v>
      </c>
      <c r="B41" s="42" t="s">
        <v>33</v>
      </c>
      <c r="C41" s="79">
        <v>22</v>
      </c>
      <c r="D41" s="83">
        <f>C41</f>
        <v>22</v>
      </c>
      <c r="E41" s="100" t="str">
        <f t="shared" si="0"/>
        <v>-</v>
      </c>
      <c r="F41" s="101">
        <f t="shared" si="1"/>
        <v>1</v>
      </c>
    </row>
    <row r="42" spans="1:6" ht="28.5" customHeight="1">
      <c r="A42" s="41" t="s">
        <v>41</v>
      </c>
      <c r="B42" s="43" t="s">
        <v>34</v>
      </c>
      <c r="C42" s="79">
        <v>22</v>
      </c>
      <c r="D42" s="83">
        <f aca="true" t="shared" si="4" ref="D42:D61">C42</f>
        <v>22</v>
      </c>
      <c r="E42" s="100" t="str">
        <f t="shared" si="0"/>
        <v>-</v>
      </c>
      <c r="F42" s="101">
        <f t="shared" si="1"/>
        <v>1</v>
      </c>
    </row>
    <row r="43" spans="1:6" ht="28.5" customHeight="1">
      <c r="A43" s="41" t="s">
        <v>42</v>
      </c>
      <c r="B43" s="42" t="s">
        <v>35</v>
      </c>
      <c r="C43" s="79">
        <v>0</v>
      </c>
      <c r="D43" s="83">
        <f t="shared" si="4"/>
        <v>0</v>
      </c>
      <c r="E43" s="100" t="str">
        <f t="shared" si="0"/>
        <v>-</v>
      </c>
      <c r="F43" s="101" t="str">
        <f t="shared" si="1"/>
        <v>-</v>
      </c>
    </row>
    <row r="44" spans="1:6" ht="28.5" customHeight="1">
      <c r="A44" s="41" t="s">
        <v>43</v>
      </c>
      <c r="B44" s="42" t="s">
        <v>36</v>
      </c>
      <c r="C44" s="79">
        <v>0</v>
      </c>
      <c r="D44" s="83">
        <f t="shared" si="4"/>
        <v>0</v>
      </c>
      <c r="E44" s="100" t="str">
        <f t="shared" si="0"/>
        <v>-</v>
      </c>
      <c r="F44" s="101" t="str">
        <f t="shared" si="1"/>
        <v>-</v>
      </c>
    </row>
    <row r="45" spans="1:6" ht="28.5" customHeight="1">
      <c r="A45" s="41" t="s">
        <v>44</v>
      </c>
      <c r="B45" s="42" t="s">
        <v>37</v>
      </c>
      <c r="C45" s="79">
        <v>0</v>
      </c>
      <c r="D45" s="83">
        <f t="shared" si="4"/>
        <v>0</v>
      </c>
      <c r="E45" s="100" t="str">
        <f t="shared" si="0"/>
        <v>-</v>
      </c>
      <c r="F45" s="101" t="str">
        <f t="shared" si="1"/>
        <v>-</v>
      </c>
    </row>
    <row r="46" spans="1:6" ht="28.5" customHeight="1">
      <c r="A46" s="41" t="s">
        <v>45</v>
      </c>
      <c r="B46" s="42" t="s">
        <v>38</v>
      </c>
      <c r="C46" s="79">
        <v>170</v>
      </c>
      <c r="D46" s="83">
        <f t="shared" si="4"/>
        <v>170</v>
      </c>
      <c r="E46" s="100" t="str">
        <f t="shared" si="0"/>
        <v>-</v>
      </c>
      <c r="F46" s="101">
        <f t="shared" si="1"/>
        <v>1</v>
      </c>
    </row>
    <row r="47" spans="1:6" ht="28.5" customHeight="1">
      <c r="A47" s="41" t="s">
        <v>46</v>
      </c>
      <c r="B47" s="42" t="s">
        <v>39</v>
      </c>
      <c r="C47" s="79">
        <v>53</v>
      </c>
      <c r="D47" s="83">
        <f>C47</f>
        <v>53</v>
      </c>
      <c r="E47" s="100" t="str">
        <f t="shared" si="0"/>
        <v>-</v>
      </c>
      <c r="F47" s="101">
        <f t="shared" si="1"/>
        <v>1</v>
      </c>
    </row>
    <row r="48" spans="1:6" ht="28.5" customHeight="1">
      <c r="A48" s="30" t="s">
        <v>22</v>
      </c>
      <c r="B48" s="39" t="s">
        <v>186</v>
      </c>
      <c r="C48" s="79">
        <v>21394</v>
      </c>
      <c r="D48" s="83">
        <f>C48</f>
        <v>21394</v>
      </c>
      <c r="E48" s="100" t="str">
        <f t="shared" si="0"/>
        <v>-</v>
      </c>
      <c r="F48" s="101">
        <f t="shared" si="1"/>
        <v>1</v>
      </c>
    </row>
    <row r="49" spans="1:6" ht="28.5" customHeight="1">
      <c r="A49" s="41" t="s">
        <v>187</v>
      </c>
      <c r="B49" s="42" t="s">
        <v>188</v>
      </c>
      <c r="C49" s="79">
        <v>24</v>
      </c>
      <c r="D49" s="83">
        <f>C49</f>
        <v>24</v>
      </c>
      <c r="E49" s="100" t="str">
        <f t="shared" si="0"/>
        <v>-</v>
      </c>
      <c r="F49" s="101">
        <f t="shared" si="1"/>
        <v>1</v>
      </c>
    </row>
    <row r="50" spans="1:6" ht="28.5" customHeight="1">
      <c r="A50" s="30" t="s">
        <v>23</v>
      </c>
      <c r="B50" s="40" t="s">
        <v>55</v>
      </c>
      <c r="C50" s="93">
        <f>C51+C52+C53+C54</f>
        <v>4750</v>
      </c>
      <c r="D50" s="83">
        <f>D51+D52+D53+D54</f>
        <v>4750</v>
      </c>
      <c r="E50" s="100" t="str">
        <f t="shared" si="0"/>
        <v>-</v>
      </c>
      <c r="F50" s="101">
        <f t="shared" si="1"/>
        <v>1</v>
      </c>
    </row>
    <row r="51" spans="1:6" ht="28.5" customHeight="1">
      <c r="A51" s="41" t="s">
        <v>51</v>
      </c>
      <c r="B51" s="42" t="s">
        <v>47</v>
      </c>
      <c r="C51" s="83">
        <v>3678</v>
      </c>
      <c r="D51" s="83">
        <f t="shared" si="4"/>
        <v>3678</v>
      </c>
      <c r="E51" s="100" t="str">
        <f t="shared" si="0"/>
        <v>-</v>
      </c>
      <c r="F51" s="101">
        <f t="shared" si="1"/>
        <v>1</v>
      </c>
    </row>
    <row r="52" spans="1:6" ht="28.5" customHeight="1">
      <c r="A52" s="41" t="s">
        <v>52</v>
      </c>
      <c r="B52" s="42" t="s">
        <v>48</v>
      </c>
      <c r="C52" s="83">
        <v>524</v>
      </c>
      <c r="D52" s="83">
        <f t="shared" si="4"/>
        <v>524</v>
      </c>
      <c r="E52" s="100" t="str">
        <f t="shared" si="0"/>
        <v>-</v>
      </c>
      <c r="F52" s="101">
        <f t="shared" si="1"/>
        <v>1</v>
      </c>
    </row>
    <row r="53" spans="1:6" ht="28.5" customHeight="1">
      <c r="A53" s="41" t="s">
        <v>53</v>
      </c>
      <c r="B53" s="42" t="s">
        <v>49</v>
      </c>
      <c r="C53" s="83">
        <v>0</v>
      </c>
      <c r="D53" s="83">
        <f t="shared" si="4"/>
        <v>0</v>
      </c>
      <c r="E53" s="100" t="str">
        <f t="shared" si="0"/>
        <v>-</v>
      </c>
      <c r="F53" s="101" t="str">
        <f t="shared" si="1"/>
        <v>-</v>
      </c>
    </row>
    <row r="54" spans="1:6" ht="28.5" customHeight="1">
      <c r="A54" s="41" t="s">
        <v>54</v>
      </c>
      <c r="B54" s="42" t="s">
        <v>50</v>
      </c>
      <c r="C54" s="83">
        <v>548</v>
      </c>
      <c r="D54" s="83">
        <f t="shared" si="4"/>
        <v>548</v>
      </c>
      <c r="E54" s="100" t="str">
        <f t="shared" si="0"/>
        <v>-</v>
      </c>
      <c r="F54" s="101">
        <f t="shared" si="1"/>
        <v>1</v>
      </c>
    </row>
    <row r="55" spans="1:6" ht="28.5" customHeight="1">
      <c r="A55" s="30" t="s">
        <v>24</v>
      </c>
      <c r="B55" s="39" t="s">
        <v>25</v>
      </c>
      <c r="C55" s="79">
        <v>0</v>
      </c>
      <c r="D55" s="83">
        <f>C55</f>
        <v>0</v>
      </c>
      <c r="E55" s="100" t="str">
        <f t="shared" si="0"/>
        <v>-</v>
      </c>
      <c r="F55" s="101" t="str">
        <f t="shared" si="1"/>
        <v>-</v>
      </c>
    </row>
    <row r="56" spans="1:6" ht="28.5" customHeight="1">
      <c r="A56" s="30" t="s">
        <v>26</v>
      </c>
      <c r="B56" s="39" t="s">
        <v>189</v>
      </c>
      <c r="C56" s="79">
        <v>5500</v>
      </c>
      <c r="D56" s="83">
        <f>C56</f>
        <v>5500</v>
      </c>
      <c r="E56" s="100" t="str">
        <f t="shared" si="0"/>
        <v>-</v>
      </c>
      <c r="F56" s="104">
        <f t="shared" si="1"/>
        <v>1</v>
      </c>
    </row>
    <row r="57" spans="1:6" ht="28.5" customHeight="1">
      <c r="A57" s="30" t="s">
        <v>27</v>
      </c>
      <c r="B57" s="39" t="s">
        <v>28</v>
      </c>
      <c r="C57" s="79">
        <v>316</v>
      </c>
      <c r="D57" s="83">
        <f>C57</f>
        <v>316</v>
      </c>
      <c r="E57" s="100" t="str">
        <f t="shared" si="0"/>
        <v>-</v>
      </c>
      <c r="F57" s="101">
        <f t="shared" si="1"/>
        <v>1</v>
      </c>
    </row>
    <row r="58" spans="1:6" s="2" customFormat="1" ht="30" customHeight="1">
      <c r="A58" s="32" t="s">
        <v>29</v>
      </c>
      <c r="B58" s="44" t="s">
        <v>190</v>
      </c>
      <c r="C58" s="81">
        <f>C59+C60+C61+C62</f>
        <v>20970</v>
      </c>
      <c r="D58" s="26">
        <f>D59+D60+D61+D62</f>
        <v>20970</v>
      </c>
      <c r="E58" s="12" t="str">
        <f t="shared" si="0"/>
        <v>-</v>
      </c>
      <c r="F58" s="105">
        <f t="shared" si="1"/>
        <v>1</v>
      </c>
    </row>
    <row r="59" spans="1:6" ht="42" customHeight="1">
      <c r="A59" s="30" t="s">
        <v>104</v>
      </c>
      <c r="B59" s="39" t="s">
        <v>126</v>
      </c>
      <c r="C59" s="79">
        <v>10</v>
      </c>
      <c r="D59" s="83">
        <f t="shared" si="4"/>
        <v>10</v>
      </c>
      <c r="E59" s="75" t="str">
        <f t="shared" si="0"/>
        <v>-</v>
      </c>
      <c r="F59" s="101">
        <f t="shared" si="1"/>
        <v>1</v>
      </c>
    </row>
    <row r="60" spans="1:6" ht="31.5" customHeight="1">
      <c r="A60" s="30" t="s">
        <v>30</v>
      </c>
      <c r="B60" s="39" t="s">
        <v>57</v>
      </c>
      <c r="C60" s="79">
        <v>18295</v>
      </c>
      <c r="D60" s="83">
        <f t="shared" si="4"/>
        <v>18295</v>
      </c>
      <c r="E60" s="75" t="str">
        <f t="shared" si="0"/>
        <v>-</v>
      </c>
      <c r="F60" s="101">
        <f t="shared" si="1"/>
        <v>1</v>
      </c>
    </row>
    <row r="61" spans="1:6" ht="31.5" customHeight="1">
      <c r="A61" s="30" t="s">
        <v>31</v>
      </c>
      <c r="B61" s="39" t="s">
        <v>106</v>
      </c>
      <c r="C61" s="79">
        <v>0</v>
      </c>
      <c r="D61" s="83">
        <f t="shared" si="4"/>
        <v>0</v>
      </c>
      <c r="E61" s="75" t="str">
        <f t="shared" si="0"/>
        <v>-</v>
      </c>
      <c r="F61" s="101" t="str">
        <f t="shared" si="1"/>
        <v>-</v>
      </c>
    </row>
    <row r="62" spans="1:6" ht="31.5" customHeight="1">
      <c r="A62" s="30" t="s">
        <v>105</v>
      </c>
      <c r="B62" s="39" t="s">
        <v>107</v>
      </c>
      <c r="C62" s="79">
        <v>2665</v>
      </c>
      <c r="D62" s="83">
        <f>C62</f>
        <v>2665</v>
      </c>
      <c r="E62" s="75" t="str">
        <f t="shared" si="0"/>
        <v>-</v>
      </c>
      <c r="F62" s="101">
        <f t="shared" si="1"/>
        <v>1</v>
      </c>
    </row>
    <row r="63" spans="1:6" ht="32.25" customHeight="1">
      <c r="A63" s="32" t="s">
        <v>112</v>
      </c>
      <c r="B63" s="44" t="s">
        <v>133</v>
      </c>
      <c r="C63" s="81">
        <v>300</v>
      </c>
      <c r="D63" s="26">
        <f>C63</f>
        <v>300</v>
      </c>
      <c r="E63" s="12" t="str">
        <f t="shared" si="0"/>
        <v>-</v>
      </c>
      <c r="F63" s="105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Jarnutowski Dariusz</dc:creator>
  <cp:keywords/>
  <dc:description/>
  <cp:lastModifiedBy>Dariusz Jarnutowski</cp:lastModifiedBy>
  <cp:lastPrinted>2012-08-27T13:12:09Z</cp:lastPrinted>
  <dcterms:created xsi:type="dcterms:W3CDTF">2005-07-21T09:51:05Z</dcterms:created>
  <dcterms:modified xsi:type="dcterms:W3CDTF">2012-08-31T05:47:44Z</dcterms:modified>
  <cp:category/>
  <cp:version/>
  <cp:contentType/>
  <cp:contentStatus/>
</cp:coreProperties>
</file>