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zbiorczo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'CENTRALA'!$A$1:$F$56</definedName>
    <definedName name="_xlnm.Print_Area" localSheetId="3">'Dolnośląski'!$A$1:$F$56</definedName>
    <definedName name="_xlnm.Print_Area" localSheetId="4">'KujawskoPomorski'!$A$1:$F$56</definedName>
    <definedName name="_xlnm.Print_Area" localSheetId="5">'Lubelski'!$A$1:$F$56</definedName>
    <definedName name="_xlnm.Print_Area" localSheetId="6">'Lubuski'!$A$1:$F$56</definedName>
    <definedName name="_xlnm.Print_Area" localSheetId="7">'Łódzki'!$A$1:$F$56</definedName>
    <definedName name="_xlnm.Print_Area" localSheetId="8">'Małopolski'!$A$1:$F$56</definedName>
    <definedName name="_xlnm.Print_Area" localSheetId="9">'Mazowiecki'!$A$1:$F$56</definedName>
    <definedName name="_xlnm.Print_Area" localSheetId="0">'NFZ'!$A$1:$F$91</definedName>
    <definedName name="_xlnm.Print_Area" localSheetId="10">'Opolski'!$A$1:$F$56</definedName>
    <definedName name="_xlnm.Print_Area" localSheetId="11">'Podkarpacki'!$A$1:$F$56</definedName>
    <definedName name="_xlnm.Print_Area" localSheetId="12">'Podlaski'!$A$1:$F$56</definedName>
    <definedName name="_xlnm.Print_Area" localSheetId="13">'Pomorski'!$A$1:$F$56</definedName>
    <definedName name="_xlnm.Print_Area" localSheetId="2">'Razem OW'!$A$1:$F$56</definedName>
    <definedName name="_xlnm.Print_Area" localSheetId="14">'Śląski'!$A$1:$F$56</definedName>
    <definedName name="_xlnm.Print_Area" localSheetId="15">'Świętokrzyski'!$A$1:$F$56</definedName>
    <definedName name="_xlnm.Print_Area" localSheetId="16">'WarmińskoMazurski'!$A$1:$F$56</definedName>
    <definedName name="_xlnm.Print_Area" localSheetId="17">'Wielkopolski'!$A$1:$F$56</definedName>
    <definedName name="_xlnm.Print_Area" localSheetId="18">'Zachodniopomorski'!$A$1:$F$56</definedName>
    <definedName name="_xlnm.Print_Area" localSheetId="19">'zbiorczo'!$A$1:$T$56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19">'zbiorczo'!$A:$C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<sst xmlns="http://schemas.openxmlformats.org/spreadsheetml/2006/main" count="2431" uniqueCount="285">
  <si>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</si>
  <si>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</si>
  <si>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</si>
  <si>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</si>
  <si>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</si>
  <si>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</si>
  <si>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</si>
  <si>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</si>
  <si>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</si>
  <si>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</si>
  <si>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</si>
  <si>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</si>
  <si>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</si>
  <si>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</si>
  <si>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</si>
  <si>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</si>
  <si>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</si>
  <si>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</si>
  <si>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</si>
  <si>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</si>
  <si>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</si>
  <si>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</si>
  <si>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</si>
  <si>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</si>
  <si>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</si>
  <si>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</si>
  <si>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</si>
  <si>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</si>
  <si>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</si>
  <si>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</si>
  <si>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</si>
  <si>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</si>
  <si>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</si>
  <si>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</si>
  <si>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</si>
  <si>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</si>
  <si>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</si>
  <si>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</si>
  <si>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</si>
  <si>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</si>
  <si>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</si>
  <si>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</si>
  <si>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</si>
  <si>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</si>
  <si>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</si>
  <si>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</si>
  <si>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</si>
  <si>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</si>
  <si>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</si>
  <si>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</si>
  <si>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</si>
  <si>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</si>
  <si>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</si>
  <si>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</si>
  <si>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</si>
  <si>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</si>
  <si>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</si>
  <si>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</si>
  <si>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</si>
  <si>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</si>
  <si>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</si>
  <si>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</si>
  <si>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</si>
  <si>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</si>
  <si>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</si>
  <si>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</si>
  <si>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</si>
  <si>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</si>
  <si>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</si>
  <si>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</si>
  <si>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</si>
  <si>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</si>
  <si>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</si>
  <si>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</si>
  <si>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</si>
  <si>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</si>
  <si>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</si>
  <si>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</si>
  <si>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</si>
  <si>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</si>
  <si>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</si>
  <si>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</si>
  <si>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</si>
  <si>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</si>
  <si>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</si>
  <si>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</si>
  <si>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</si>
  <si>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</si>
  <si>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</si>
  <si>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</si>
  <si>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[w tys. zł]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</si>
  <si>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</si>
  <si>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</si>
  <si>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</si>
  <si>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</si>
  <si>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</si>
  <si>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</si>
  <si>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</si>
  <si>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</si>
  <si>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</si>
  <si>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</si>
  <si>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</si>
  <si>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</si>
  <si>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</si>
  <si>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</si>
  <si>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</si>
  <si>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</si>
  <si>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</si>
  <si>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</si>
  <si>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</si>
  <si>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</si>
  <si>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</si>
  <si>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</si>
  <si>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</si>
  <si>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</si>
  <si>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</si>
  <si>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</si>
  <si>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</si>
  <si>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</si>
  <si>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</si>
  <si>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</si>
  <si>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</si>
  <si>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</si>
  <si>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</si>
  <si>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</si>
  <si>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</si>
  <si>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</si>
  <si>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</si>
  <si>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</si>
  <si>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</si>
  <si>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</si>
  <si>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</si>
  <si>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</si>
  <si>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</si>
  <si>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</si>
  <si>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</si>
  <si>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</si>
  <si>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</si>
  <si>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</si>
  <si>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</si>
  <si>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</si>
  <si>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</si>
  <si>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</si>
  <si>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</si>
  <si>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</si>
  <si>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</si>
  <si>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</si>
  <si>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</si>
  <si>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</si>
  <si>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</si>
  <si>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</si>
  <si>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</si>
  <si>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</si>
  <si>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</si>
  <si>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 poboru i ewidencjonowania składek
( 4.1 + 4.2 ),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</si>
  <si>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</si>
  <si>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</si>
  <si>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</si>
  <si>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</si>
  <si>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Plan 
po zmianie</t>
  </si>
  <si>
    <t>4</t>
  </si>
  <si>
    <t>5</t>
  </si>
  <si>
    <t>6</t>
  </si>
  <si>
    <t>Dynamika
kol.4/kol.3</t>
  </si>
  <si>
    <t>Różnica 
kol.4-kol.3</t>
  </si>
  <si>
    <t>Plan na
2009 rok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</si>
  <si>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</si>
  <si>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</si>
  <si>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</si>
  <si>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</si>
  <si>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</si>
  <si>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</si>
  <si>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</si>
  <si>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</si>
  <si>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</si>
  <si>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</si>
  <si>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</si>
  <si>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</si>
  <si>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</si>
  <si>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</si>
  <si>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</si>
  <si>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r>
      <t xml:space="preserve">Różnica 
</t>
    </r>
    <r>
      <rPr>
        <b/>
        <sz val="14"/>
        <rFont val="Times New Roman CE"/>
        <family val="0"/>
      </rPr>
      <t>kol.4-kol.3</t>
    </r>
  </si>
  <si>
    <r>
      <t xml:space="preserve">Dynamika
</t>
    </r>
    <r>
      <rPr>
        <b/>
        <sz val="14"/>
        <rFont val="Times New Roman CE"/>
        <family val="0"/>
      </rPr>
      <t>kol.4/kol.3</t>
    </r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</si>
  <si>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</si>
  <si>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</si>
  <si>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</si>
  <si>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</si>
  <si>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</si>
  <si>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</si>
  <si>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</si>
  <si>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</si>
  <si>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</si>
  <si>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</si>
  <si>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</si>
  <si>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</si>
  <si>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</si>
  <si>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</si>
  <si>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</si>
  <si>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</si>
  <si>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</si>
  <si>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</si>
  <si>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</si>
  <si>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</si>
  <si>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</si>
  <si>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</si>
  <si>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</si>
  <si>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</si>
  <si>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</si>
  <si>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</si>
  <si>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</si>
  <si>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</si>
  <si>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</si>
  <si>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</si>
  <si>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</si>
  <si>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</si>
  <si>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</si>
  <si>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</si>
  <si>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</si>
  <si>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</si>
  <si>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</si>
  <si>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</si>
  <si>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</si>
  <si>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</si>
  <si>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</si>
  <si>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</si>
  <si>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</si>
  <si>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</si>
  <si>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</si>
  <si>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</si>
  <si>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</si>
  <si>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</si>
  <si>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</si>
  <si>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</si>
  <si>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</si>
  <si>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</si>
  <si>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</si>
  <si>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</si>
  <si>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</si>
  <si>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</si>
  <si>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</si>
  <si>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darowizny i zapisy otrzymane, w tym kwota umorzenia majątku otrzymanego nieodpłatnie wynikająca z rozliczeń międzyokresowych przypadająca na rok planowania</t>
  </si>
  <si>
    <t>NFZ</t>
  </si>
  <si>
    <t>Plan na 2009 r.</t>
  </si>
  <si>
    <t>Zmiana</t>
  </si>
  <si>
    <t>Plan po zmianie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</si>
  <si>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</si>
  <si>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</si>
  <si>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</si>
  <si>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</si>
  <si>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</si>
  <si>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</si>
  <si>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</si>
  <si>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</si>
  <si>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</si>
  <si>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</si>
  <si>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</si>
  <si>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</si>
  <si>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</si>
  <si>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</si>
  <si>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</si>
  <si>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</si>
  <si>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</si>
  <si>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</si>
  <si>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</si>
  <si>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</si>
  <si>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</si>
  <si>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</si>
  <si>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</si>
  <si>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</si>
  <si>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</si>
  <si>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</si>
  <si>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</si>
  <si>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</si>
  <si>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</si>
  <si>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</si>
  <si>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</si>
  <si>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</si>
  <si>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</si>
  <si>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</si>
  <si>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</si>
  <si>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</si>
  <si>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</si>
  <si>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</si>
  <si>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</si>
  <si>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ZMIANA PLANU FINANSOWEGO NARODOWEGO FUNDUSZU ZDROWIA NA 2009 ROK Z DNIA 17 GRUDNIA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</si>
</sst>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</numFmts>
  <fonts count="6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3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4" fillId="3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34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3" fontId="13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8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1" fillId="0" borderId="0" xfId="68" applyFont="1" applyFill="1" applyBorder="1" applyAlignment="1" applyProtection="1">
      <alignment horizontal="left" vertical="center"/>
      <protection/>
    </xf>
    <xf numFmtId="10" fontId="11" fillId="0" borderId="0" xfId="67" applyNumberFormat="1" applyFont="1" applyFill="1" applyBorder="1" applyAlignment="1" applyProtection="1">
      <alignment horizontal="left" vertical="center" wrapText="1"/>
      <protection/>
    </xf>
    <xf numFmtId="0" fontId="11" fillId="0" borderId="0" xfId="67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11" fillId="34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49" fontId="9" fillId="34" borderId="10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34" borderId="10" xfId="68" applyFont="1" applyFill="1" applyBorder="1" applyAlignment="1" applyProtection="1">
      <alignment horizontal="center" vertical="center" wrapText="1"/>
      <protection locked="0"/>
    </xf>
    <xf numFmtId="3" fontId="13" fillId="34" borderId="10" xfId="0" applyNumberFormat="1" applyFont="1" applyFill="1" applyBorder="1" applyAlignment="1" applyProtection="1">
      <alignment vertical="center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25" fillId="0" borderId="10" xfId="68" applyFont="1" applyFill="1" applyBorder="1" applyAlignment="1" applyProtection="1">
      <alignment horizontal="center" vertical="center" wrapText="1"/>
      <protection/>
    </xf>
    <xf numFmtId="0" fontId="26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34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Fill="1" applyBorder="1" applyAlignment="1" applyProtection="1">
      <alignment horizontal="left" vertical="center" wrapText="1" indent="3"/>
      <protection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25" fillId="0" borderId="10" xfId="65" applyFont="1" applyFill="1" applyBorder="1" applyAlignment="1" applyProtection="1">
      <alignment horizontal="left" vertical="center" wrapText="1" indent="2"/>
      <protection/>
    </xf>
    <xf numFmtId="0" fontId="26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>
      <alignment horizontal="left" vertical="center" wrapText="1" indent="1"/>
      <protection/>
    </xf>
    <xf numFmtId="0" fontId="5" fillId="34" borderId="10" xfId="68" applyFont="1" applyFill="1" applyBorder="1" applyAlignment="1" applyProtection="1">
      <alignment horizontal="left" vertical="center" wrapText="1" indent="1"/>
      <protection/>
    </xf>
    <xf numFmtId="0" fontId="26" fillId="0" borderId="10" xfId="68" applyFont="1" applyFill="1" applyBorder="1" applyAlignment="1" applyProtection="1">
      <alignment horizontal="left" vertical="center" wrapText="1" indent="2"/>
      <protection/>
    </xf>
    <xf numFmtId="0" fontId="26" fillId="0" borderId="10" xfId="67" applyFont="1" applyFill="1" applyBorder="1" applyAlignment="1" applyProtection="1">
      <alignment horizontal="left" vertical="center" wrapText="1" indent="2"/>
      <protection/>
    </xf>
    <xf numFmtId="0" fontId="2" fillId="0" borderId="10" xfId="68" applyFont="1" applyFill="1" applyBorder="1" applyAlignment="1" applyProtection="1">
      <alignment horizontal="center" vertical="center" wrapText="1"/>
      <protection/>
    </xf>
    <xf numFmtId="0" fontId="3" fillId="0" borderId="10" xfId="67" applyFont="1" applyFill="1" applyBorder="1" applyAlignment="1" applyProtection="1">
      <alignment horizontal="left" vertical="center" wrapText="1" indent="3"/>
      <protection/>
    </xf>
    <xf numFmtId="0" fontId="3" fillId="0" borderId="10" xfId="67" applyFont="1" applyFill="1" applyBorder="1" applyAlignment="1" applyProtection="1">
      <alignment horizontal="left" vertical="center" wrapText="1" indent="4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0" fontId="12" fillId="34" borderId="10" xfId="68" applyFont="1" applyFill="1" applyBorder="1" applyAlignment="1" applyProtection="1">
      <alignment horizontal="left" vertical="center" wrapText="1" indent="1"/>
      <protection/>
    </xf>
    <xf numFmtId="49" fontId="9" fillId="34" borderId="10" xfId="65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vertical="center"/>
      <protection locked="0"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49" fontId="9" fillId="34" borderId="10" xfId="0" applyNumberFormat="1" applyFont="1" applyFill="1" applyBorder="1" applyAlignment="1">
      <alignment horizontal="center" vertical="center"/>
    </xf>
    <xf numFmtId="0" fontId="24" fillId="34" borderId="10" xfId="68" applyFont="1" applyFill="1" applyBorder="1" applyAlignment="1" applyProtection="1">
      <alignment horizontal="center" vertical="center" wrapText="1"/>
      <protection/>
    </xf>
    <xf numFmtId="0" fontId="24" fillId="34" borderId="10" xfId="68" applyFont="1" applyFill="1" applyBorder="1" applyAlignment="1" applyProtection="1">
      <alignment horizontal="left" vertical="center" wrapText="1" indent="1"/>
      <protection/>
    </xf>
    <xf numFmtId="0" fontId="12" fillId="0" borderId="10" xfId="68" applyFont="1" applyFill="1" applyBorder="1" applyAlignment="1" applyProtection="1">
      <alignment horizontal="center" vertical="center" wrapText="1"/>
      <protection/>
    </xf>
    <xf numFmtId="0" fontId="12" fillId="0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8" applyFont="1" applyFill="1" applyBorder="1" applyAlignment="1" applyProtection="1" quotePrefix="1">
      <alignment horizontal="center" vertical="center" wrapText="1"/>
      <protection/>
    </xf>
    <xf numFmtId="0" fontId="24" fillId="34" borderId="10" xfId="68" applyFont="1" applyFill="1" applyBorder="1" applyAlignment="1" applyProtection="1" quotePrefix="1">
      <alignment horizontal="center" vertical="center" wrapText="1"/>
      <protection/>
    </xf>
    <xf numFmtId="0" fontId="24" fillId="34" borderId="10" xfId="68" applyFont="1" applyFill="1" applyBorder="1" applyAlignment="1" applyProtection="1" quotePrefix="1">
      <alignment horizontal="left" vertical="center" wrapText="1" indent="1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 quotePrefix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8" applyFont="1" applyFill="1" applyBorder="1" applyAlignment="1" applyProtection="1">
      <alignment horizontal="left" vertical="center" wrapText="1" indent="3"/>
      <protection/>
    </xf>
    <xf numFmtId="0" fontId="17" fillId="0" borderId="10" xfId="68" applyFont="1" applyFill="1" applyBorder="1" applyAlignment="1" applyProtection="1">
      <alignment horizontal="left" vertical="center" wrapText="1" indent="2"/>
      <protection/>
    </xf>
    <xf numFmtId="0" fontId="12" fillId="34" borderId="10" xfId="68" applyFont="1" applyFill="1" applyBorder="1" applyAlignment="1" applyProtection="1">
      <alignment horizontal="left" vertical="center" wrapText="1" indent="2"/>
      <protection/>
    </xf>
    <xf numFmtId="0" fontId="12" fillId="0" borderId="10" xfId="67" applyFont="1" applyFill="1" applyBorder="1" applyAlignment="1" applyProtection="1">
      <alignment horizontal="left" vertical="center" wrapText="1" indent="2"/>
      <protection/>
    </xf>
    <xf numFmtId="0" fontId="17" fillId="0" borderId="10" xfId="68" applyFont="1" applyFill="1" applyBorder="1" applyAlignment="1" applyProtection="1">
      <alignment horizontal="center"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3"/>
      <protection/>
    </xf>
    <xf numFmtId="0" fontId="17" fillId="0" borderId="10" xfId="67" applyFont="1" applyFill="1" applyBorder="1" applyAlignment="1" applyProtection="1">
      <alignment horizontal="left" vertical="center" wrapText="1" indent="4"/>
      <protection/>
    </xf>
    <xf numFmtId="0" fontId="24" fillId="34" borderId="10" xfId="67" applyFont="1" applyFill="1" applyBorder="1" applyAlignment="1" applyProtection="1">
      <alignment horizontal="center" vertical="center" wrapText="1"/>
      <protection/>
    </xf>
    <xf numFmtId="0" fontId="24" fillId="34" borderId="10" xfId="67" applyFont="1" applyFill="1" applyBorder="1" applyAlignment="1" applyProtection="1">
      <alignment horizontal="left" vertical="center" wrapText="1" indent="1"/>
      <protection/>
    </xf>
    <xf numFmtId="0" fontId="24" fillId="34" borderId="11" xfId="67" applyFont="1" applyFill="1" applyBorder="1" applyAlignment="1" applyProtection="1">
      <alignment horizontal="left" vertical="center" wrapText="1" indent="1"/>
      <protection/>
    </xf>
    <xf numFmtId="0" fontId="24" fillId="34" borderId="11" xfId="68" applyFont="1" applyFill="1" applyBorder="1" applyAlignment="1" applyProtection="1">
      <alignment horizontal="left" vertical="center" wrapText="1" indent="1"/>
      <protection/>
    </xf>
    <xf numFmtId="3" fontId="16" fillId="34" borderId="1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164" fontId="16" fillId="34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34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34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10" fontId="13" fillId="34" borderId="10" xfId="0" applyNumberFormat="1" applyFont="1" applyFill="1" applyBorder="1" applyAlignment="1" applyProtection="1">
      <alignment vertical="center"/>
      <protection locked="0"/>
    </xf>
    <xf numFmtId="10" fontId="11" fillId="34" borderId="10" xfId="0" applyNumberFormat="1" applyFont="1" applyFill="1" applyBorder="1" applyAlignment="1">
      <alignment horizontal="right" vertical="center"/>
    </xf>
    <xf numFmtId="10" fontId="16" fillId="34" borderId="10" xfId="0" applyNumberFormat="1" applyFont="1" applyFill="1" applyBorder="1" applyAlignment="1">
      <alignment horizontal="right" vertical="center"/>
    </xf>
    <xf numFmtId="10" fontId="10" fillId="0" borderId="10" xfId="70" applyNumberFormat="1" applyFont="1" applyFill="1" applyBorder="1" applyAlignment="1" applyProtection="1">
      <alignment horizontal="right" vertical="center"/>
      <protection/>
    </xf>
    <xf numFmtId="3" fontId="13" fillId="34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0" xfId="68" applyFont="1" applyFill="1" applyBorder="1" applyAlignment="1" applyProtection="1">
      <alignment horizontal="left" vertical="center" wrapText="1" indent="2"/>
      <protection/>
    </xf>
    <xf numFmtId="0" fontId="4" fillId="0" borderId="10" xfId="68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vertical="center" wrapText="1"/>
      <protection locked="0"/>
    </xf>
    <xf numFmtId="0" fontId="34" fillId="34" borderId="0" xfId="0" applyFont="1" applyFill="1" applyAlignment="1" applyProtection="1">
      <alignment horizontal="center" vertical="center"/>
      <protection locked="0"/>
    </xf>
    <xf numFmtId="3" fontId="25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8" fillId="0" borderId="0" xfId="0" applyNumberFormat="1" applyFont="1" applyFill="1" applyAlignment="1" applyProtection="1">
      <alignment horizontal="right" vertical="center"/>
      <protection locked="0"/>
    </xf>
    <xf numFmtId="3" fontId="22" fillId="34" borderId="10" xfId="0" applyNumberFormat="1" applyFont="1" applyFill="1" applyBorder="1" applyAlignment="1">
      <alignment horizontal="right" vertical="center"/>
    </xf>
    <xf numFmtId="3" fontId="22" fillId="34" borderId="10" xfId="0" applyNumberFormat="1" applyFont="1" applyFill="1" applyBorder="1" applyAlignment="1" applyProtection="1">
      <alignment horizontal="right" vertical="center"/>
      <protection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35" borderId="10" xfId="0" applyNumberFormat="1" applyFont="1" applyFill="1" applyBorder="1" applyAlignment="1" applyProtection="1">
      <alignment horizontal="right" vertical="center"/>
      <protection locked="0"/>
    </xf>
    <xf numFmtId="3" fontId="5" fillId="35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/>
    </xf>
    <xf numFmtId="10" fontId="35" fillId="34" borderId="10" xfId="0" applyNumberFormat="1" applyFont="1" applyFill="1" applyBorder="1" applyAlignment="1" applyProtection="1">
      <alignment horizontal="right" vertical="center"/>
      <protection/>
    </xf>
    <xf numFmtId="0" fontId="22" fillId="33" borderId="0" xfId="0" applyFont="1" applyFill="1" applyAlignment="1" applyProtection="1">
      <alignment horizontal="left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3" fontId="18" fillId="0" borderId="0" xfId="0" applyNumberFormat="1" applyFont="1" applyFill="1" applyAlignment="1">
      <alignment/>
    </xf>
    <xf numFmtId="0" fontId="22" fillId="33" borderId="0" xfId="0" applyFont="1" applyFill="1" applyAlignment="1" applyProtection="1">
      <alignment vertical="center" wrapText="1"/>
      <protection locked="0"/>
    </xf>
    <xf numFmtId="0" fontId="25" fillId="34" borderId="0" xfId="0" applyFont="1" applyFill="1" applyAlignment="1" applyProtection="1">
      <alignment horizontal="center" vertical="center"/>
      <protection locked="0"/>
    </xf>
    <xf numFmtId="0" fontId="33" fillId="35" borderId="12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  <xf numFmtId="49" fontId="9" fillId="34" borderId="14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2" xfId="65" applyNumberFormat="1" applyFont="1" applyFill="1" applyBorder="1" applyAlignment="1" applyProtection="1">
      <alignment horizontal="center" vertical="center" wrapText="1"/>
      <protection locked="0"/>
    </xf>
    <xf numFmtId="49" fontId="9" fillId="34" borderId="13" xfId="65" applyNumberFormat="1" applyFont="1" applyFill="1" applyBorder="1" applyAlignment="1" applyProtection="1">
      <alignment horizontal="center" vertical="center" wrapText="1"/>
      <protection locked="0"/>
    </xf>
    <xf numFmtId="0" fontId="5" fillId="34" borderId="14" xfId="68" applyFont="1" applyFill="1" applyBorder="1" applyAlignment="1" applyProtection="1">
      <alignment horizontal="center" vertical="center" wrapText="1"/>
      <protection locked="0"/>
    </xf>
    <xf numFmtId="0" fontId="5" fillId="34" borderId="14" xfId="68" applyFont="1" applyFill="1" applyBorder="1" applyAlignment="1" applyProtection="1">
      <alignment horizontal="left" vertical="center" wrapText="1" indent="1"/>
      <protection/>
    </xf>
    <xf numFmtId="0" fontId="5" fillId="34" borderId="12" xfId="68" applyFont="1" applyFill="1" applyBorder="1" applyAlignment="1" applyProtection="1">
      <alignment horizontal="left" vertical="center" wrapText="1" indent="1"/>
      <protection/>
    </xf>
    <xf numFmtId="0" fontId="5" fillId="34" borderId="13" xfId="68" applyFont="1" applyFill="1" applyBorder="1" applyAlignment="1" applyProtection="1">
      <alignment horizontal="left" vertical="center" wrapText="1" indent="1"/>
      <protection/>
    </xf>
    <xf numFmtId="3" fontId="22" fillId="34" borderId="13" xfId="0" applyNumberFormat="1" applyFont="1" applyFill="1" applyBorder="1" applyAlignment="1">
      <alignment horizontal="right" vertical="center"/>
    </xf>
    <xf numFmtId="3" fontId="22" fillId="34" borderId="12" xfId="0" applyNumberFormat="1" applyFont="1" applyFill="1" applyBorder="1" applyAlignment="1">
      <alignment horizontal="right" vertical="center"/>
    </xf>
    <xf numFmtId="0" fontId="25" fillId="0" borderId="14" xfId="68" applyFont="1" applyFill="1" applyBorder="1" applyAlignment="1" applyProtection="1">
      <alignment horizontal="center" vertical="center" wrapText="1"/>
      <protection/>
    </xf>
    <xf numFmtId="0" fontId="25" fillId="0" borderId="14" xfId="68" applyFont="1" applyFill="1" applyBorder="1" applyAlignment="1" applyProtection="1">
      <alignment horizontal="left" vertical="center" wrapText="1" indent="2"/>
      <protection/>
    </xf>
    <xf numFmtId="0" fontId="25" fillId="0" borderId="12" xfId="68" applyFont="1" applyFill="1" applyBorder="1" applyAlignment="1" applyProtection="1">
      <alignment horizontal="left" vertical="center" wrapText="1" indent="2"/>
      <protection/>
    </xf>
    <xf numFmtId="0" fontId="25" fillId="0" borderId="13" xfId="68" applyFont="1" applyFill="1" applyBorder="1" applyAlignment="1" applyProtection="1">
      <alignment horizontal="left" vertical="center" wrapText="1" indent="2"/>
      <protection/>
    </xf>
    <xf numFmtId="49" fontId="25" fillId="0" borderId="13" xfId="0" applyNumberFormat="1" applyFont="1" applyFill="1" applyBorder="1" applyAlignment="1" applyProtection="1">
      <alignment horizontal="right" vertical="center"/>
      <protection locked="0"/>
    </xf>
    <xf numFmtId="49" fontId="25" fillId="0" borderId="12" xfId="0" applyNumberFormat="1" applyFont="1" applyFill="1" applyBorder="1" applyAlignment="1" applyProtection="1">
      <alignment horizontal="right" vertical="center"/>
      <protection locked="0"/>
    </xf>
    <xf numFmtId="3" fontId="25" fillId="0" borderId="13" xfId="0" applyNumberFormat="1" applyFont="1" applyFill="1" applyBorder="1" applyAlignment="1" applyProtection="1">
      <alignment horizontal="right" vertical="center"/>
      <protection locked="0"/>
    </xf>
    <xf numFmtId="3" fontId="25" fillId="0" borderId="12" xfId="0" applyNumberFormat="1" applyFont="1" applyFill="1" applyBorder="1" applyAlignment="1" applyProtection="1">
      <alignment horizontal="right" vertical="center"/>
      <protection locked="0"/>
    </xf>
    <xf numFmtId="3" fontId="25" fillId="0" borderId="13" xfId="0" applyNumberFormat="1" applyFont="1" applyFill="1" applyBorder="1" applyAlignment="1">
      <alignment horizontal="right" vertical="center"/>
    </xf>
    <xf numFmtId="3" fontId="25" fillId="0" borderId="12" xfId="0" applyNumberFormat="1" applyFont="1" applyFill="1" applyBorder="1" applyAlignment="1">
      <alignment horizontal="right" vertical="center"/>
    </xf>
    <xf numFmtId="0" fontId="4" fillId="0" borderId="14" xfId="68" applyFont="1" applyFill="1" applyBorder="1" applyAlignment="1" applyProtection="1">
      <alignment horizontal="center" vertical="center" wrapText="1"/>
      <protection/>
    </xf>
    <xf numFmtId="0" fontId="7" fillId="0" borderId="14" xfId="68" applyFont="1" applyFill="1" applyBorder="1" applyAlignment="1" applyProtection="1">
      <alignment horizontal="left" vertical="center" wrapText="1" indent="3"/>
      <protection/>
    </xf>
    <xf numFmtId="0" fontId="7" fillId="0" borderId="12" xfId="68" applyFont="1" applyFill="1" applyBorder="1" applyAlignment="1" applyProtection="1">
      <alignment horizontal="left" vertical="center" wrapText="1" indent="3"/>
      <protection/>
    </xf>
    <xf numFmtId="0" fontId="7" fillId="0" borderId="13" xfId="68" applyFont="1" applyFill="1" applyBorder="1" applyAlignment="1" applyProtection="1">
      <alignment horizontal="left" vertical="center" wrapText="1" indent="3"/>
      <protection/>
    </xf>
    <xf numFmtId="0" fontId="25" fillId="0" borderId="14" xfId="68" applyFont="1" applyFill="1" applyBorder="1" applyAlignment="1" applyProtection="1">
      <alignment horizontal="left" vertical="center" wrapText="1" indent="2"/>
      <protection/>
    </xf>
    <xf numFmtId="0" fontId="25" fillId="0" borderId="12" xfId="68" applyFont="1" applyFill="1" applyBorder="1" applyAlignment="1" applyProtection="1">
      <alignment horizontal="left" vertical="center" wrapText="1" indent="2"/>
      <protection/>
    </xf>
    <xf numFmtId="0" fontId="25" fillId="0" borderId="13" xfId="68" applyFont="1" applyFill="1" applyBorder="1" applyAlignment="1" applyProtection="1">
      <alignment horizontal="left" vertical="center" wrapText="1" indent="2"/>
      <protection/>
    </xf>
    <xf numFmtId="0" fontId="25" fillId="0" borderId="14" xfId="68" applyFont="1" applyFill="1" applyBorder="1" applyAlignment="1" applyProtection="1">
      <alignment horizontal="center" vertical="center" wrapText="1"/>
      <protection/>
    </xf>
    <xf numFmtId="0" fontId="4" fillId="0" borderId="14" xfId="68" applyFont="1" applyFill="1" applyBorder="1" applyAlignment="1" applyProtection="1">
      <alignment horizontal="center" vertical="center" wrapText="1"/>
      <protection/>
    </xf>
    <xf numFmtId="0" fontId="26" fillId="0" borderId="14" xfId="68" applyFont="1" applyFill="1" applyBorder="1" applyAlignment="1" applyProtection="1">
      <alignment horizontal="center" vertical="center" wrapText="1"/>
      <protection/>
    </xf>
    <xf numFmtId="0" fontId="25" fillId="0" borderId="14" xfId="65" applyFont="1" applyFill="1" applyBorder="1" applyAlignment="1" applyProtection="1">
      <alignment horizontal="left" vertical="center" wrapText="1" indent="2"/>
      <protection/>
    </xf>
    <xf numFmtId="0" fontId="25" fillId="0" borderId="12" xfId="65" applyFont="1" applyFill="1" applyBorder="1" applyAlignment="1" applyProtection="1">
      <alignment horizontal="left" vertical="center" wrapText="1" indent="2"/>
      <protection/>
    </xf>
    <xf numFmtId="0" fontId="25" fillId="0" borderId="13" xfId="65" applyFont="1" applyFill="1" applyBorder="1" applyAlignment="1" applyProtection="1">
      <alignment horizontal="left" vertical="center" wrapText="1" indent="2"/>
      <protection/>
    </xf>
    <xf numFmtId="0" fontId="26" fillId="0" borderId="14" xfId="68" applyFont="1" applyFill="1" applyBorder="1" applyAlignment="1" applyProtection="1">
      <alignment horizontal="left" vertical="center" wrapText="1" indent="2"/>
      <protection/>
    </xf>
    <xf numFmtId="0" fontId="26" fillId="0" borderId="12" xfId="68" applyFont="1" applyFill="1" applyBorder="1" applyAlignment="1" applyProtection="1">
      <alignment horizontal="left" vertical="center" wrapText="1" indent="2"/>
      <protection/>
    </xf>
    <xf numFmtId="0" fontId="26" fillId="0" borderId="13" xfId="68" applyFont="1" applyFill="1" applyBorder="1" applyAlignment="1" applyProtection="1">
      <alignment horizontal="left" vertical="center" wrapText="1" indent="2"/>
      <protection/>
    </xf>
    <xf numFmtId="0" fontId="12" fillId="0" borderId="14" xfId="68" applyFont="1" applyFill="1" applyBorder="1" applyAlignment="1" applyProtection="1">
      <alignment horizontal="center" vertical="center" wrapText="1"/>
      <protection/>
    </xf>
    <xf numFmtId="0" fontId="12" fillId="0" borderId="14" xfId="68" applyFont="1" applyFill="1" applyBorder="1" applyAlignment="1" applyProtection="1">
      <alignment horizontal="left" vertical="center" wrapText="1" indent="1"/>
      <protection/>
    </xf>
    <xf numFmtId="0" fontId="12" fillId="0" borderId="12" xfId="68" applyFont="1" applyFill="1" applyBorder="1" applyAlignment="1" applyProtection="1">
      <alignment horizontal="left" vertical="center" wrapText="1" indent="1"/>
      <protection/>
    </xf>
    <xf numFmtId="0" fontId="12" fillId="0" borderId="13" xfId="68" applyFont="1" applyFill="1" applyBorder="1" applyAlignment="1" applyProtection="1">
      <alignment horizontal="left" vertical="center" wrapText="1" indent="1"/>
      <protection/>
    </xf>
    <xf numFmtId="0" fontId="12" fillId="34" borderId="14" xfId="68" applyFont="1" applyFill="1" applyBorder="1" applyAlignment="1" applyProtection="1">
      <alignment horizontal="center" vertical="center" wrapText="1"/>
      <protection locked="0"/>
    </xf>
    <xf numFmtId="0" fontId="12" fillId="34" borderId="14" xfId="68" applyFont="1" applyFill="1" applyBorder="1" applyAlignment="1" applyProtection="1">
      <alignment horizontal="left" vertical="center" wrapText="1" indent="1"/>
      <protection/>
    </xf>
    <xf numFmtId="0" fontId="12" fillId="34" borderId="12" xfId="68" applyFont="1" applyFill="1" applyBorder="1" applyAlignment="1" applyProtection="1">
      <alignment horizontal="left" vertical="center" wrapText="1" indent="1"/>
      <protection/>
    </xf>
    <xf numFmtId="0" fontId="12" fillId="34" borderId="13" xfId="68" applyFont="1" applyFill="1" applyBorder="1" applyAlignment="1" applyProtection="1">
      <alignment horizontal="left" vertical="center" wrapText="1" indent="1"/>
      <protection/>
    </xf>
    <xf numFmtId="3" fontId="5" fillId="35" borderId="13" xfId="0" applyNumberFormat="1" applyFont="1" applyFill="1" applyBorder="1" applyAlignment="1" applyProtection="1">
      <alignment horizontal="right" vertical="center"/>
      <protection locked="0"/>
    </xf>
    <xf numFmtId="3" fontId="5" fillId="35" borderId="12" xfId="0" applyNumberFormat="1" applyFont="1" applyFill="1" applyBorder="1" applyAlignment="1" applyProtection="1">
      <alignment horizontal="right" vertical="center"/>
      <protection locked="0"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12" xfId="0" applyNumberFormat="1" applyFont="1" applyFill="1" applyBorder="1" applyAlignment="1">
      <alignment horizontal="right" vertical="center"/>
    </xf>
    <xf numFmtId="0" fontId="26" fillId="0" borderId="14" xfId="68" applyFont="1" applyFill="1" applyBorder="1" applyAlignment="1" applyProtection="1">
      <alignment horizontal="left" vertical="center" wrapText="1" indent="2"/>
      <protection/>
    </xf>
    <xf numFmtId="0" fontId="26" fillId="0" borderId="12" xfId="68" applyFont="1" applyFill="1" applyBorder="1" applyAlignment="1" applyProtection="1">
      <alignment horizontal="left" vertical="center" wrapText="1" indent="2"/>
      <protection/>
    </xf>
    <xf numFmtId="0" fontId="26" fillId="0" borderId="13" xfId="68" applyFont="1" applyFill="1" applyBorder="1" applyAlignment="1" applyProtection="1">
      <alignment horizontal="left" vertical="center" wrapText="1" indent="2"/>
      <protection/>
    </xf>
    <xf numFmtId="0" fontId="26" fillId="0" borderId="14" xfId="67" applyFont="1" applyFill="1" applyBorder="1" applyAlignment="1" applyProtection="1">
      <alignment horizontal="left" vertical="center" wrapText="1" indent="2"/>
      <protection/>
    </xf>
    <xf numFmtId="0" fontId="26" fillId="0" borderId="12" xfId="67" applyFont="1" applyFill="1" applyBorder="1" applyAlignment="1" applyProtection="1">
      <alignment horizontal="left" vertical="center" wrapText="1" indent="2"/>
      <protection/>
    </xf>
    <xf numFmtId="0" fontId="26" fillId="0" borderId="13" xfId="67" applyFont="1" applyFill="1" applyBorder="1" applyAlignment="1" applyProtection="1">
      <alignment horizontal="left" vertical="center" wrapText="1" indent="2"/>
      <protection/>
    </xf>
    <xf numFmtId="0" fontId="2" fillId="0" borderId="14" xfId="68" applyFont="1" applyFill="1" applyBorder="1" applyAlignment="1" applyProtection="1">
      <alignment horizontal="center" vertical="center" wrapText="1"/>
      <protection/>
    </xf>
    <xf numFmtId="0" fontId="3" fillId="0" borderId="14" xfId="67" applyFont="1" applyFill="1" applyBorder="1" applyAlignment="1" applyProtection="1">
      <alignment horizontal="left" vertical="center" wrapText="1" indent="3"/>
      <protection/>
    </xf>
    <xf numFmtId="0" fontId="3" fillId="0" borderId="12" xfId="67" applyFont="1" applyFill="1" applyBorder="1" applyAlignment="1" applyProtection="1">
      <alignment horizontal="left" vertical="center" wrapText="1" indent="3"/>
      <protection/>
    </xf>
    <xf numFmtId="0" fontId="3" fillId="0" borderId="13" xfId="67" applyFont="1" applyFill="1" applyBorder="1" applyAlignment="1" applyProtection="1">
      <alignment horizontal="left" vertical="center" wrapText="1" indent="3"/>
      <protection/>
    </xf>
    <xf numFmtId="0" fontId="3" fillId="0" borderId="14" xfId="67" applyFont="1" applyFill="1" applyBorder="1" applyAlignment="1" applyProtection="1">
      <alignment horizontal="left" vertical="center" wrapText="1" indent="4"/>
      <protection/>
    </xf>
    <xf numFmtId="0" fontId="3" fillId="0" borderId="12" xfId="67" applyFont="1" applyFill="1" applyBorder="1" applyAlignment="1" applyProtection="1">
      <alignment horizontal="left" vertical="center" wrapText="1" indent="4"/>
      <protection/>
    </xf>
    <xf numFmtId="0" fontId="3" fillId="0" borderId="13" xfId="67" applyFont="1" applyFill="1" applyBorder="1" applyAlignment="1" applyProtection="1">
      <alignment horizontal="left" vertical="center" wrapText="1" indent="4"/>
      <protection/>
    </xf>
    <xf numFmtId="0" fontId="12" fillId="34" borderId="14" xfId="68" applyFont="1" applyFill="1" applyBorder="1" applyAlignment="1" applyProtection="1">
      <alignment horizontal="center" vertical="center" wrapText="1"/>
      <protection/>
    </xf>
    <xf numFmtId="0" fontId="12" fillId="34" borderId="14" xfId="68" applyFont="1" applyFill="1" applyBorder="1" applyAlignment="1" applyProtection="1">
      <alignment horizontal="left" vertical="center" wrapText="1" indent="1"/>
      <protection/>
    </xf>
    <xf numFmtId="3" fontId="22" fillId="34" borderId="12" xfId="0" applyNumberFormat="1" applyFont="1" applyFill="1" applyBorder="1" applyAlignment="1" applyProtection="1">
      <alignment horizontal="right" vertical="center"/>
      <protection/>
    </xf>
    <xf numFmtId="3" fontId="22" fillId="34" borderId="13" xfId="0" applyNumberFormat="1" applyFont="1" applyFill="1" applyBorder="1" applyAlignment="1" applyProtection="1">
      <alignment horizontal="right" vertical="center"/>
      <protection/>
    </xf>
    <xf numFmtId="0" fontId="12" fillId="34" borderId="15" xfId="68" applyFont="1" applyFill="1" applyBorder="1" applyAlignment="1" applyProtection="1">
      <alignment horizontal="center" vertical="center" wrapText="1"/>
      <protection/>
    </xf>
    <xf numFmtId="0" fontId="12" fillId="35" borderId="15" xfId="68" applyFont="1" applyFill="1" applyBorder="1" applyAlignment="1" applyProtection="1">
      <alignment horizontal="left" vertical="center" wrapText="1" indent="1"/>
      <protection/>
    </xf>
    <xf numFmtId="3" fontId="22" fillId="34" borderId="16" xfId="0" applyNumberFormat="1" applyFont="1" applyFill="1" applyBorder="1" applyAlignment="1" applyProtection="1">
      <alignment horizontal="right" vertical="center"/>
      <protection/>
    </xf>
    <xf numFmtId="3" fontId="22" fillId="34" borderId="17" xfId="0" applyNumberFormat="1" applyFont="1" applyFill="1" applyBorder="1" applyAlignment="1" applyProtection="1">
      <alignment horizontal="right" vertical="center"/>
      <protection/>
    </xf>
    <xf numFmtId="3" fontId="22" fillId="34" borderId="18" xfId="0" applyNumberFormat="1" applyFont="1" applyFill="1" applyBorder="1" applyAlignment="1" applyProtection="1">
      <alignment horizontal="right" vertical="center"/>
      <protection/>
    </xf>
    <xf numFmtId="3" fontId="4" fillId="34" borderId="0" xfId="0" applyNumberFormat="1" applyFont="1" applyFill="1" applyAlignment="1" applyProtection="1">
      <alignment vertical="center"/>
      <protection locked="0"/>
    </xf>
    <xf numFmtId="0" fontId="22" fillId="0" borderId="19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34" borderId="10" xfId="65" applyFont="1" applyFill="1" applyBorder="1" applyAlignment="1" applyProtection="1">
      <alignment horizontal="center" vertical="center" wrapText="1"/>
      <protection/>
    </xf>
    <xf numFmtId="3" fontId="24" fillId="34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2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34" borderId="20" xfId="66" applyNumberFormat="1" applyFont="1" applyFill="1" applyBorder="1" applyAlignment="1">
      <alignment horizontal="center" vertical="center" wrapText="1"/>
      <protection/>
    </xf>
    <xf numFmtId="3" fontId="11" fillId="34" borderId="21" xfId="66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33" borderId="0" xfId="0" applyFont="1" applyFill="1" applyAlignment="1" applyProtection="1">
      <alignment horizontal="left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11" fillId="34" borderId="10" xfId="65" applyFont="1" applyFill="1" applyBorder="1" applyAlignment="1" applyProtection="1">
      <alignment horizontal="center" vertical="center" wrapText="1"/>
      <protection locked="0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33" fillId="35" borderId="25" xfId="65" applyFont="1" applyFill="1" applyBorder="1" applyAlignment="1" applyProtection="1">
      <alignment horizontal="center" vertical="center" wrapText="1"/>
      <protection locked="0"/>
    </xf>
    <xf numFmtId="0" fontId="33" fillId="35" borderId="14" xfId="65" applyFont="1" applyFill="1" applyBorder="1" applyAlignment="1" applyProtection="1">
      <alignment horizontal="center" vertical="center" wrapText="1"/>
      <protection locked="0"/>
    </xf>
  </cellXfs>
  <cellStyles count="66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_laroux" xfId="63"/>
    <cellStyle name="normální_laroux" xfId="64"/>
    <cellStyle name="Normalny_03PlFin_0403" xfId="65"/>
    <cellStyle name="Normalny_2007.06.18 -2v- Plan finansowy na lata 2004 - 2010" xfId="66"/>
    <cellStyle name="Normalny_WfMgkr1" xfId="67"/>
    <cellStyle name="Normalny_Wzór z 09.10.2001" xfId="68"/>
    <cellStyle name="Obliczenia" xfId="69"/>
    <cellStyle name="Percent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jekt%20zmiany%20planu%2023.09.09%20r(F-H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1">
          <cell r="A1" t="str">
            <v>PROJEKT ZMIANY PLANU FINANSOWEGO NARODOWEGO FUNDUSZU ZDROWIA NA 2009 ROK Z 23 WRZEŚNIA 2009 R.</v>
          </cell>
        </row>
        <row r="75">
          <cell r="C75">
            <v>13264</v>
          </cell>
          <cell r="D75">
            <v>6651</v>
          </cell>
          <cell r="E75">
            <v>-6613</v>
          </cell>
        </row>
        <row r="76">
          <cell r="C76">
            <v>224451</v>
          </cell>
          <cell r="D76">
            <v>260174</v>
          </cell>
          <cell r="E76">
            <v>35723</v>
          </cell>
        </row>
        <row r="77">
          <cell r="C77">
            <v>0</v>
          </cell>
          <cell r="D77">
            <v>0</v>
          </cell>
          <cell r="E77" t="str">
            <v>-</v>
          </cell>
        </row>
        <row r="78">
          <cell r="C78">
            <v>18785</v>
          </cell>
          <cell r="D78">
            <v>82158</v>
          </cell>
          <cell r="E78">
            <v>63373</v>
          </cell>
        </row>
        <row r="82">
          <cell r="C82">
            <v>118521</v>
          </cell>
          <cell r="D82">
            <v>153907</v>
          </cell>
          <cell r="E82">
            <v>35386</v>
          </cell>
        </row>
      </sheetData>
      <sheetData sheetId="1">
        <row r="7">
          <cell r="E7">
            <v>-176230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>
            <v>-176230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>
            <v>-51</v>
          </cell>
        </row>
        <row r="31">
          <cell r="E31">
            <v>-30</v>
          </cell>
        </row>
        <row r="32">
          <cell r="E32">
            <v>-1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>
            <v>-20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0</v>
          </cell>
          <cell r="D52">
            <v>0</v>
          </cell>
          <cell r="E52" t="str">
            <v>-</v>
          </cell>
        </row>
        <row r="53">
          <cell r="C53">
            <v>600</v>
          </cell>
          <cell r="D53">
            <v>600</v>
          </cell>
          <cell r="E53" t="str">
            <v>-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272</v>
          </cell>
          <cell r="D55">
            <v>67346</v>
          </cell>
          <cell r="E55">
            <v>67074</v>
          </cell>
        </row>
        <row r="56">
          <cell r="C56">
            <v>38126</v>
          </cell>
          <cell r="D56">
            <v>15500</v>
          </cell>
          <cell r="E56">
            <v>-22626</v>
          </cell>
        </row>
      </sheetData>
      <sheetData sheetId="2">
        <row r="52">
          <cell r="C52">
            <v>13264</v>
          </cell>
          <cell r="D52">
            <v>6651</v>
          </cell>
          <cell r="E52">
            <v>-6613</v>
          </cell>
        </row>
        <row r="53">
          <cell r="C53">
            <v>223851</v>
          </cell>
          <cell r="D53">
            <v>259574</v>
          </cell>
          <cell r="E53">
            <v>35723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18513</v>
          </cell>
          <cell r="D55">
            <v>14812</v>
          </cell>
          <cell r="E55">
            <v>-3701</v>
          </cell>
        </row>
        <row r="56">
          <cell r="C56">
            <v>40054</v>
          </cell>
          <cell r="D56">
            <v>138407</v>
          </cell>
          <cell r="E56">
            <v>98353</v>
          </cell>
        </row>
      </sheetData>
      <sheetData sheetId="3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8</v>
          </cell>
          <cell r="D52">
            <v>20</v>
          </cell>
          <cell r="E52">
            <v>12</v>
          </cell>
        </row>
        <row r="53">
          <cell r="C53">
            <v>16058</v>
          </cell>
          <cell r="D53">
            <v>16058</v>
          </cell>
          <cell r="E53" t="str">
            <v>-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100</v>
          </cell>
          <cell r="D55">
            <v>100</v>
          </cell>
          <cell r="E55" t="str">
            <v>-</v>
          </cell>
        </row>
        <row r="56">
          <cell r="C56">
            <v>1244</v>
          </cell>
          <cell r="D56">
            <v>279</v>
          </cell>
          <cell r="E56">
            <v>-965</v>
          </cell>
        </row>
      </sheetData>
      <sheetData sheetId="4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477</v>
          </cell>
          <cell r="D52">
            <v>14</v>
          </cell>
          <cell r="E52">
            <v>-463</v>
          </cell>
        </row>
        <row r="53">
          <cell r="C53">
            <v>11617</v>
          </cell>
          <cell r="D53">
            <v>59159</v>
          </cell>
          <cell r="E53">
            <v>47542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275</v>
          </cell>
          <cell r="D55">
            <v>1800</v>
          </cell>
          <cell r="E55">
            <v>1525</v>
          </cell>
        </row>
        <row r="56">
          <cell r="C56">
            <v>886</v>
          </cell>
          <cell r="D56">
            <v>33278</v>
          </cell>
          <cell r="E56">
            <v>32392</v>
          </cell>
        </row>
      </sheetData>
      <sheetData sheetId="5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51</v>
          </cell>
          <cell r="D52">
            <v>15</v>
          </cell>
          <cell r="E52">
            <v>-36</v>
          </cell>
        </row>
        <row r="53">
          <cell r="C53">
            <v>11837</v>
          </cell>
          <cell r="D53">
            <v>11837</v>
          </cell>
          <cell r="E53" t="str">
            <v>-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744</v>
          </cell>
          <cell r="D55">
            <v>250</v>
          </cell>
          <cell r="E55">
            <v>-494</v>
          </cell>
        </row>
        <row r="56">
          <cell r="C56">
            <v>10800</v>
          </cell>
          <cell r="D56">
            <v>10197</v>
          </cell>
          <cell r="E56">
            <v>-603</v>
          </cell>
        </row>
      </sheetData>
      <sheetData sheetId="6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4087</v>
          </cell>
          <cell r="D52">
            <v>3145</v>
          </cell>
          <cell r="E52">
            <v>-942</v>
          </cell>
        </row>
        <row r="53">
          <cell r="C53">
            <v>4913</v>
          </cell>
          <cell r="D53">
            <v>4046</v>
          </cell>
          <cell r="E53">
            <v>-867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200</v>
          </cell>
          <cell r="D55">
            <v>30</v>
          </cell>
          <cell r="E55">
            <v>-170</v>
          </cell>
        </row>
        <row r="56">
          <cell r="C56">
            <v>1</v>
          </cell>
          <cell r="D56">
            <v>1</v>
          </cell>
          <cell r="E56" t="str">
            <v>-</v>
          </cell>
        </row>
      </sheetData>
      <sheetData sheetId="7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617</v>
          </cell>
          <cell r="D52">
            <v>27</v>
          </cell>
          <cell r="E52">
            <v>-590</v>
          </cell>
        </row>
        <row r="53">
          <cell r="C53">
            <v>14213</v>
          </cell>
          <cell r="D53">
            <v>5987</v>
          </cell>
          <cell r="E53">
            <v>-8226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800</v>
          </cell>
          <cell r="D55">
            <v>1400</v>
          </cell>
          <cell r="E55">
            <v>600</v>
          </cell>
        </row>
        <row r="56">
          <cell r="C56">
            <v>274</v>
          </cell>
          <cell r="D56">
            <v>3591</v>
          </cell>
          <cell r="E56">
            <v>3317</v>
          </cell>
        </row>
      </sheetData>
      <sheetData sheetId="8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537</v>
          </cell>
          <cell r="D52">
            <v>10</v>
          </cell>
          <cell r="E52">
            <v>-527</v>
          </cell>
        </row>
        <row r="53">
          <cell r="C53">
            <v>18295</v>
          </cell>
          <cell r="D53">
            <v>12330</v>
          </cell>
          <cell r="E53">
            <v>-5965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1000</v>
          </cell>
          <cell r="D55">
            <v>1000</v>
          </cell>
          <cell r="E55" t="str">
            <v>-</v>
          </cell>
        </row>
        <row r="56">
          <cell r="C56">
            <v>177</v>
          </cell>
          <cell r="D56">
            <v>6640</v>
          </cell>
          <cell r="E56">
            <v>6463</v>
          </cell>
        </row>
      </sheetData>
      <sheetData sheetId="9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1609</v>
          </cell>
          <cell r="D52">
            <v>15</v>
          </cell>
          <cell r="E52">
            <v>-1594</v>
          </cell>
        </row>
        <row r="53">
          <cell r="C53">
            <v>33895</v>
          </cell>
          <cell r="D53">
            <v>63842</v>
          </cell>
          <cell r="E53">
            <v>29947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2000</v>
          </cell>
          <cell r="D55">
            <v>2000</v>
          </cell>
          <cell r="E55" t="str">
            <v>-</v>
          </cell>
        </row>
        <row r="56">
          <cell r="C56">
            <v>10500</v>
          </cell>
          <cell r="D56">
            <v>44333</v>
          </cell>
          <cell r="E56">
            <v>33833</v>
          </cell>
        </row>
      </sheetData>
      <sheetData sheetId="10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1632</v>
          </cell>
          <cell r="D52">
            <v>1694</v>
          </cell>
          <cell r="E52">
            <v>62</v>
          </cell>
        </row>
        <row r="53">
          <cell r="C53">
            <v>5022</v>
          </cell>
          <cell r="D53">
            <v>202</v>
          </cell>
          <cell r="E53">
            <v>-4820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100</v>
          </cell>
          <cell r="D55">
            <v>9</v>
          </cell>
          <cell r="E55">
            <v>-91</v>
          </cell>
        </row>
        <row r="56">
          <cell r="C56">
            <v>1</v>
          </cell>
          <cell r="D56">
            <v>1</v>
          </cell>
          <cell r="E56" t="str">
            <v>-</v>
          </cell>
        </row>
      </sheetData>
      <sheetData sheetId="11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247</v>
          </cell>
          <cell r="D52">
            <v>7</v>
          </cell>
          <cell r="E52">
            <v>-240</v>
          </cell>
        </row>
        <row r="53">
          <cell r="C53">
            <v>10057</v>
          </cell>
          <cell r="D53">
            <v>7800</v>
          </cell>
          <cell r="E53">
            <v>-2257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250</v>
          </cell>
          <cell r="D55">
            <v>250</v>
          </cell>
          <cell r="E55" t="str">
            <v>-</v>
          </cell>
        </row>
        <row r="56">
          <cell r="C56">
            <v>1888</v>
          </cell>
          <cell r="D56">
            <v>2300</v>
          </cell>
          <cell r="E56">
            <v>412</v>
          </cell>
        </row>
      </sheetData>
      <sheetData sheetId="12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175</v>
          </cell>
          <cell r="D52">
            <v>6</v>
          </cell>
          <cell r="E52">
            <v>-169</v>
          </cell>
        </row>
        <row r="53">
          <cell r="C53">
            <v>6496</v>
          </cell>
          <cell r="D53">
            <v>784</v>
          </cell>
          <cell r="E53">
            <v>-5712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450</v>
          </cell>
          <cell r="D55">
            <v>610</v>
          </cell>
          <cell r="E55">
            <v>160</v>
          </cell>
        </row>
        <row r="56">
          <cell r="C56">
            <v>48</v>
          </cell>
          <cell r="D56">
            <v>55</v>
          </cell>
          <cell r="E56">
            <v>7</v>
          </cell>
        </row>
      </sheetData>
      <sheetData sheetId="13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>
            <v>100</v>
          </cell>
        </row>
        <row r="31">
          <cell r="E31">
            <v>100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1161</v>
          </cell>
          <cell r="D52">
            <v>1037</v>
          </cell>
          <cell r="E52">
            <v>-124</v>
          </cell>
        </row>
        <row r="53">
          <cell r="C53">
            <v>11453</v>
          </cell>
          <cell r="D53">
            <v>1401</v>
          </cell>
          <cell r="E53">
            <v>-10052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1600</v>
          </cell>
          <cell r="D55">
            <v>196</v>
          </cell>
          <cell r="E55">
            <v>-1404</v>
          </cell>
        </row>
        <row r="56">
          <cell r="C56">
            <v>38</v>
          </cell>
          <cell r="D56">
            <v>10</v>
          </cell>
          <cell r="E56">
            <v>-28</v>
          </cell>
        </row>
      </sheetData>
      <sheetData sheetId="14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890</v>
          </cell>
          <cell r="D52">
            <v>390</v>
          </cell>
          <cell r="E52">
            <v>-500</v>
          </cell>
        </row>
        <row r="53">
          <cell r="C53">
            <v>27160</v>
          </cell>
          <cell r="D53">
            <v>10140</v>
          </cell>
          <cell r="E53">
            <v>-17020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6229</v>
          </cell>
          <cell r="D55">
            <v>6229</v>
          </cell>
          <cell r="E55" t="str">
            <v>-</v>
          </cell>
        </row>
        <row r="56">
          <cell r="C56">
            <v>2989</v>
          </cell>
          <cell r="D56">
            <v>2989</v>
          </cell>
          <cell r="E56" t="str">
            <v>-</v>
          </cell>
        </row>
      </sheetData>
      <sheetData sheetId="15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308</v>
          </cell>
          <cell r="D52">
            <v>10</v>
          </cell>
          <cell r="E52">
            <v>-298</v>
          </cell>
        </row>
        <row r="53">
          <cell r="C53">
            <v>17598</v>
          </cell>
          <cell r="D53">
            <v>13500</v>
          </cell>
          <cell r="E53">
            <v>-4098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500</v>
          </cell>
          <cell r="D55">
            <v>20</v>
          </cell>
          <cell r="E55">
            <v>-480</v>
          </cell>
        </row>
        <row r="56">
          <cell r="C56">
            <v>5928</v>
          </cell>
          <cell r="D56">
            <v>700</v>
          </cell>
          <cell r="E56">
            <v>-5228</v>
          </cell>
        </row>
      </sheetData>
      <sheetData sheetId="16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215</v>
          </cell>
          <cell r="D52">
            <v>215</v>
          </cell>
          <cell r="E52" t="str">
            <v>-</v>
          </cell>
        </row>
        <row r="53">
          <cell r="C53">
            <v>7200</v>
          </cell>
          <cell r="D53">
            <v>9969</v>
          </cell>
          <cell r="E53">
            <v>2769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600</v>
          </cell>
          <cell r="D55">
            <v>600</v>
          </cell>
          <cell r="E55" t="str">
            <v>-</v>
          </cell>
        </row>
        <row r="56">
          <cell r="C56">
            <v>3</v>
          </cell>
          <cell r="D56">
            <v>7937</v>
          </cell>
          <cell r="E56">
            <v>7934</v>
          </cell>
        </row>
      </sheetData>
      <sheetData sheetId="17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1235</v>
          </cell>
          <cell r="D52">
            <v>30</v>
          </cell>
          <cell r="E52">
            <v>-1205</v>
          </cell>
        </row>
        <row r="53">
          <cell r="C53">
            <v>18707</v>
          </cell>
          <cell r="D53">
            <v>36889</v>
          </cell>
          <cell r="E53">
            <v>18182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3445</v>
          </cell>
          <cell r="D55">
            <v>300</v>
          </cell>
          <cell r="E55">
            <v>-3145</v>
          </cell>
        </row>
        <row r="56">
          <cell r="C56">
            <v>5259</v>
          </cell>
          <cell r="D56">
            <v>25786</v>
          </cell>
          <cell r="E56">
            <v>20527</v>
          </cell>
        </row>
      </sheetData>
      <sheetData sheetId="18">
        <row r="7">
          <cell r="E7" t="str">
            <v>-</v>
          </cell>
        </row>
        <row r="8">
          <cell r="E8" t="str">
            <v>-</v>
          </cell>
        </row>
        <row r="9">
          <cell r="E9" t="str">
            <v>-</v>
          </cell>
        </row>
        <row r="10">
          <cell r="E10" t="str">
            <v>-</v>
          </cell>
        </row>
        <row r="11">
          <cell r="E11" t="str">
            <v>-</v>
          </cell>
        </row>
        <row r="12">
          <cell r="E12" t="str">
            <v>-</v>
          </cell>
        </row>
        <row r="13">
          <cell r="E13" t="str">
            <v>-</v>
          </cell>
        </row>
        <row r="14">
          <cell r="E14" t="str">
            <v>-</v>
          </cell>
        </row>
        <row r="15">
          <cell r="E15" t="str">
            <v>-</v>
          </cell>
        </row>
        <row r="16">
          <cell r="E16" t="str">
            <v>-</v>
          </cell>
        </row>
        <row r="17">
          <cell r="E17" t="str">
            <v>-</v>
          </cell>
        </row>
        <row r="18">
          <cell r="E18" t="str">
            <v>-</v>
          </cell>
        </row>
        <row r="19">
          <cell r="E19" t="str">
            <v>-</v>
          </cell>
        </row>
        <row r="20">
          <cell r="E20" t="str">
            <v>-</v>
          </cell>
        </row>
        <row r="21">
          <cell r="E21" t="str">
            <v>-</v>
          </cell>
        </row>
        <row r="22">
          <cell r="E22" t="str">
            <v>-</v>
          </cell>
        </row>
        <row r="23">
          <cell r="E23" t="str">
            <v>-</v>
          </cell>
        </row>
        <row r="24">
          <cell r="E24" t="str">
            <v>-</v>
          </cell>
        </row>
        <row r="25">
          <cell r="E25" t="str">
            <v>-</v>
          </cell>
        </row>
        <row r="26">
          <cell r="E26" t="str">
            <v>-</v>
          </cell>
        </row>
        <row r="27">
          <cell r="E27" t="str">
            <v>-</v>
          </cell>
        </row>
        <row r="28">
          <cell r="E28" t="str">
            <v>-</v>
          </cell>
        </row>
        <row r="29">
          <cell r="E29" t="str">
            <v>-</v>
          </cell>
        </row>
        <row r="30">
          <cell r="E30" t="str">
            <v>-</v>
          </cell>
        </row>
        <row r="31">
          <cell r="E31" t="str">
            <v>-</v>
          </cell>
        </row>
        <row r="32">
          <cell r="E32" t="str">
            <v>-</v>
          </cell>
        </row>
        <row r="33">
          <cell r="E33" t="str">
            <v>-</v>
          </cell>
        </row>
        <row r="34">
          <cell r="E34" t="str">
            <v>-</v>
          </cell>
        </row>
        <row r="35">
          <cell r="E35" t="str">
            <v>-</v>
          </cell>
        </row>
        <row r="36">
          <cell r="E36" t="str">
            <v>-</v>
          </cell>
        </row>
        <row r="37">
          <cell r="E37" t="str">
            <v>-</v>
          </cell>
        </row>
        <row r="38">
          <cell r="E38" t="str">
            <v>-</v>
          </cell>
        </row>
        <row r="39">
          <cell r="E39" t="str">
            <v>-</v>
          </cell>
        </row>
        <row r="40">
          <cell r="E40" t="str">
            <v>-</v>
          </cell>
        </row>
        <row r="41">
          <cell r="E41" t="str">
            <v>-</v>
          </cell>
        </row>
        <row r="42">
          <cell r="E42" t="str">
            <v>-</v>
          </cell>
        </row>
        <row r="43">
          <cell r="E43" t="str">
            <v>-</v>
          </cell>
        </row>
        <row r="44">
          <cell r="E44" t="str">
            <v>-</v>
          </cell>
        </row>
        <row r="45">
          <cell r="E45" t="str">
            <v>-</v>
          </cell>
        </row>
        <row r="46">
          <cell r="E46" t="str">
            <v>-</v>
          </cell>
        </row>
        <row r="47">
          <cell r="E47" t="str">
            <v>-</v>
          </cell>
        </row>
        <row r="48">
          <cell r="E48" t="str">
            <v>-</v>
          </cell>
        </row>
        <row r="49">
          <cell r="E49" t="str">
            <v>-</v>
          </cell>
        </row>
        <row r="50">
          <cell r="E50" t="str">
            <v>-</v>
          </cell>
        </row>
        <row r="52">
          <cell r="C52">
            <v>15</v>
          </cell>
          <cell r="D52">
            <v>16</v>
          </cell>
          <cell r="E52">
            <v>1</v>
          </cell>
        </row>
        <row r="53">
          <cell r="C53">
            <v>9330</v>
          </cell>
          <cell r="D53">
            <v>5630</v>
          </cell>
          <cell r="E53">
            <v>-3700</v>
          </cell>
        </row>
        <row r="54">
          <cell r="C54">
            <v>0</v>
          </cell>
          <cell r="D54">
            <v>0</v>
          </cell>
          <cell r="E54" t="str">
            <v>-</v>
          </cell>
        </row>
        <row r="55">
          <cell r="C55">
            <v>220</v>
          </cell>
          <cell r="D55">
            <v>18</v>
          </cell>
          <cell r="E55">
            <v>-202</v>
          </cell>
        </row>
        <row r="56">
          <cell r="C56">
            <v>18</v>
          </cell>
          <cell r="D56">
            <v>310</v>
          </cell>
          <cell r="E56">
            <v>292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1"/>
  <sheetViews>
    <sheetView showGridLines="0" tabSelected="1" zoomScale="55" zoomScaleNormal="55" zoomScaleSheetLayoutView="55" zoomScalePageLayoutView="0" workbookViewId="0" topLeftCell="A1">
      <pane xSplit="2" ySplit="6" topLeftCell="C72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K87" sqref="K87"/>
    </sheetView>
  </sheetViews>
  <sheetFormatPr defaultColWidth="9.00390625" defaultRowHeight="12.75"/>
  <cols>
    <col min="1" max="1" width="10.375" style="28" customWidth="1"/>
    <col min="2" max="2" width="120.00390625" style="28" customWidth="1"/>
    <col min="3" max="3" width="26.25390625" style="7" customWidth="1"/>
    <col min="4" max="4" width="26.125" style="7" customWidth="1"/>
    <col min="5" max="5" width="24.375" style="7" customWidth="1"/>
    <col min="6" max="6" width="25.375" style="7" customWidth="1"/>
    <col min="7" max="8" width="14.00390625" style="7" customWidth="1"/>
    <col min="9" max="16384" width="9.125" style="7" customWidth="1"/>
  </cols>
  <sheetData>
    <row r="1" spans="1:6" s="86" customFormat="1" ht="39" customHeight="1">
      <c r="A1" s="199" t="s">
        <v>284</v>
      </c>
      <c r="B1" s="199"/>
      <c r="C1" s="199"/>
      <c r="D1" s="199"/>
      <c r="E1" s="199"/>
      <c r="F1" s="199"/>
    </row>
    <row r="2" spans="1:3" s="60" customFormat="1" ht="35.25" customHeight="1">
      <c r="A2" s="198" t="s">
        <v>135</v>
      </c>
      <c r="B2" s="198"/>
      <c r="C2" s="199"/>
    </row>
    <row r="3" spans="1:6" s="10" customFormat="1" ht="36" customHeight="1">
      <c r="A3" s="8"/>
      <c r="B3" s="9"/>
      <c r="C3" s="30"/>
      <c r="D3" s="30"/>
      <c r="E3" s="30"/>
      <c r="F3" s="30" t="s">
        <v>90</v>
      </c>
    </row>
    <row r="4" spans="1:92" s="11" customFormat="1" ht="38.25" customHeight="1">
      <c r="A4" s="200" t="s">
        <v>166</v>
      </c>
      <c r="B4" s="200" t="s">
        <v>62</v>
      </c>
      <c r="C4" s="204" t="s">
        <v>165</v>
      </c>
      <c r="D4" s="201" t="s">
        <v>159</v>
      </c>
      <c r="E4" s="203" t="s">
        <v>181</v>
      </c>
      <c r="F4" s="203" t="s">
        <v>182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</row>
    <row r="5" spans="1:92" s="11" customFormat="1" ht="38.25" customHeight="1">
      <c r="A5" s="200"/>
      <c r="B5" s="200"/>
      <c r="C5" s="205"/>
      <c r="D5" s="202"/>
      <c r="E5" s="203"/>
      <c r="F5" s="203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</row>
    <row r="6" spans="1:92" s="12" customFormat="1" ht="19.5" customHeight="1">
      <c r="A6" s="58">
        <v>1</v>
      </c>
      <c r="B6" s="63">
        <v>2</v>
      </c>
      <c r="C6" s="63">
        <v>3</v>
      </c>
      <c r="D6" s="32" t="s">
        <v>160</v>
      </c>
      <c r="E6" s="32" t="s">
        <v>161</v>
      </c>
      <c r="F6" s="32" t="s">
        <v>162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</row>
    <row r="7" spans="1:92" s="14" customFormat="1" ht="63.75" customHeight="1">
      <c r="A7" s="64">
        <v>1</v>
      </c>
      <c r="B7" s="65" t="s">
        <v>157</v>
      </c>
      <c r="C7" s="13">
        <f>C8+C9</f>
        <v>53729031</v>
      </c>
      <c r="D7" s="13">
        <f>D8+D9</f>
        <v>53513449</v>
      </c>
      <c r="E7" s="13">
        <f>IF(C7=D7,"-",D7-C7)</f>
        <v>-215582</v>
      </c>
      <c r="F7" s="95">
        <f>IF(C7=0,"-",D7/C7)</f>
        <v>0.996</v>
      </c>
      <c r="G7" s="19"/>
      <c r="H7" s="122"/>
      <c r="I7" s="122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</row>
    <row r="8" spans="1:9" ht="30" customHeight="1">
      <c r="A8" s="66" t="s">
        <v>91</v>
      </c>
      <c r="B8" s="67" t="s">
        <v>92</v>
      </c>
      <c r="C8" s="15">
        <v>49721038</v>
      </c>
      <c r="D8" s="15">
        <f>C8-212059-3523</f>
        <v>49505456</v>
      </c>
      <c r="E8" s="15">
        <f aca="true" t="shared" si="0" ref="E8:E45">IF(C8=D8,"-",D8-C8)</f>
        <v>-215582</v>
      </c>
      <c r="F8" s="96">
        <f aca="true" t="shared" si="1" ref="F8:F45">IF(C8=0,"-",D8/C8)</f>
        <v>0.9957</v>
      </c>
      <c r="H8" s="122"/>
      <c r="I8" s="122"/>
    </row>
    <row r="9" spans="1:9" ht="30" customHeight="1">
      <c r="A9" s="66" t="s">
        <v>93</v>
      </c>
      <c r="B9" s="67" t="s">
        <v>94</v>
      </c>
      <c r="C9" s="15">
        <v>4007993</v>
      </c>
      <c r="D9" s="15">
        <f>C9</f>
        <v>4007993</v>
      </c>
      <c r="E9" s="15" t="str">
        <f t="shared" si="0"/>
        <v>-</v>
      </c>
      <c r="F9" s="96">
        <f t="shared" si="1"/>
        <v>1</v>
      </c>
      <c r="H9" s="122"/>
      <c r="I9" s="122"/>
    </row>
    <row r="10" spans="1:92" s="14" customFormat="1" ht="63.75" customHeight="1">
      <c r="A10" s="64">
        <v>2</v>
      </c>
      <c r="B10" s="65" t="s">
        <v>152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95" t="str">
        <f t="shared" si="1"/>
        <v>-</v>
      </c>
      <c r="G10" s="19"/>
      <c r="H10" s="122"/>
      <c r="I10" s="122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</row>
    <row r="11" spans="1:9" ht="30" customHeight="1">
      <c r="A11" s="66" t="s">
        <v>95</v>
      </c>
      <c r="B11" s="67" t="s">
        <v>96</v>
      </c>
      <c r="C11" s="15">
        <v>0</v>
      </c>
      <c r="D11" s="15">
        <f>C11</f>
        <v>0</v>
      </c>
      <c r="E11" s="15" t="str">
        <f t="shared" si="0"/>
        <v>-</v>
      </c>
      <c r="F11" s="96" t="str">
        <f t="shared" si="1"/>
        <v>-</v>
      </c>
      <c r="H11" s="122"/>
      <c r="I11" s="122"/>
    </row>
    <row r="12" spans="1:9" ht="30" customHeight="1">
      <c r="A12" s="66" t="s">
        <v>97</v>
      </c>
      <c r="B12" s="67" t="s">
        <v>98</v>
      </c>
      <c r="C12" s="15">
        <v>0</v>
      </c>
      <c r="D12" s="15">
        <f>C12</f>
        <v>0</v>
      </c>
      <c r="E12" s="15" t="str">
        <f t="shared" si="0"/>
        <v>-</v>
      </c>
      <c r="F12" s="96" t="str">
        <f t="shared" si="1"/>
        <v>-</v>
      </c>
      <c r="H12" s="122"/>
      <c r="I12" s="122"/>
    </row>
    <row r="13" spans="1:92" s="14" customFormat="1" ht="39.75" customHeight="1">
      <c r="A13" s="64">
        <v>3</v>
      </c>
      <c r="B13" s="65" t="s">
        <v>99</v>
      </c>
      <c r="C13" s="13">
        <f>C14+C15</f>
        <v>200000</v>
      </c>
      <c r="D13" s="13">
        <f>D14+D15</f>
        <v>200000</v>
      </c>
      <c r="E13" s="13" t="str">
        <f t="shared" si="0"/>
        <v>-</v>
      </c>
      <c r="F13" s="95">
        <f t="shared" si="1"/>
        <v>1</v>
      </c>
      <c r="G13" s="19"/>
      <c r="H13" s="122"/>
      <c r="I13" s="122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</row>
    <row r="14" spans="1:9" ht="30" customHeight="1">
      <c r="A14" s="66" t="s">
        <v>100</v>
      </c>
      <c r="B14" s="67" t="s">
        <v>92</v>
      </c>
      <c r="C14" s="15">
        <v>200000</v>
      </c>
      <c r="D14" s="15">
        <f>C14</f>
        <v>200000</v>
      </c>
      <c r="E14" s="15" t="str">
        <f t="shared" si="0"/>
        <v>-</v>
      </c>
      <c r="F14" s="96">
        <f t="shared" si="1"/>
        <v>1</v>
      </c>
      <c r="G14" s="118"/>
      <c r="H14" s="122"/>
      <c r="I14" s="122"/>
    </row>
    <row r="15" spans="1:9" ht="30" customHeight="1">
      <c r="A15" s="66" t="s">
        <v>101</v>
      </c>
      <c r="B15" s="67" t="s">
        <v>94</v>
      </c>
      <c r="C15" s="15">
        <v>0</v>
      </c>
      <c r="D15" s="15">
        <f>C15</f>
        <v>0</v>
      </c>
      <c r="E15" s="15" t="str">
        <f t="shared" si="0"/>
        <v>-</v>
      </c>
      <c r="F15" s="96" t="str">
        <f t="shared" si="1"/>
        <v>-</v>
      </c>
      <c r="H15" s="122"/>
      <c r="I15" s="122"/>
    </row>
    <row r="16" spans="1:92" s="14" customFormat="1" ht="63.75" customHeight="1">
      <c r="A16" s="64">
        <v>4</v>
      </c>
      <c r="B16" s="65" t="s">
        <v>154</v>
      </c>
      <c r="C16" s="13">
        <f>C17+C18</f>
        <v>106464</v>
      </c>
      <c r="D16" s="13">
        <f>D17+D18</f>
        <v>106037</v>
      </c>
      <c r="E16" s="13">
        <f t="shared" si="0"/>
        <v>-427</v>
      </c>
      <c r="F16" s="95">
        <f t="shared" si="1"/>
        <v>0.996</v>
      </c>
      <c r="G16" s="19"/>
      <c r="H16" s="122"/>
      <c r="I16" s="12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</row>
    <row r="17" spans="1:9" ht="30" customHeight="1">
      <c r="A17" s="68" t="s">
        <v>102</v>
      </c>
      <c r="B17" s="67" t="s">
        <v>103</v>
      </c>
      <c r="C17" s="15">
        <v>98448</v>
      </c>
      <c r="D17" s="15">
        <f>ROUND(D8*0.99*0.002,0)</f>
        <v>98021</v>
      </c>
      <c r="E17" s="15">
        <f t="shared" si="0"/>
        <v>-427</v>
      </c>
      <c r="F17" s="96">
        <f t="shared" si="1"/>
        <v>0.9957</v>
      </c>
      <c r="H17" s="122"/>
      <c r="I17" s="122"/>
    </row>
    <row r="18" spans="1:9" ht="30" customHeight="1">
      <c r="A18" s="68" t="s">
        <v>104</v>
      </c>
      <c r="B18" s="67" t="s">
        <v>105</v>
      </c>
      <c r="C18" s="15">
        <v>8016</v>
      </c>
      <c r="D18" s="15">
        <f>C18</f>
        <v>8016</v>
      </c>
      <c r="E18" s="15" t="str">
        <f t="shared" si="0"/>
        <v>-</v>
      </c>
      <c r="F18" s="96">
        <f t="shared" si="1"/>
        <v>1</v>
      </c>
      <c r="H18" s="122"/>
      <c r="I18" s="122"/>
    </row>
    <row r="19" spans="1:92" s="14" customFormat="1" ht="63.75" customHeight="1">
      <c r="A19" s="69" t="s">
        <v>184</v>
      </c>
      <c r="B19" s="70" t="s">
        <v>183</v>
      </c>
      <c r="C19" s="13">
        <f>(C7-C10+C13-C16)+C20+C21+C22+C23</f>
        <v>55646712</v>
      </c>
      <c r="D19" s="13">
        <f>(D7-D10+D13-D16)+D20+D21+D22+D23</f>
        <v>55443445</v>
      </c>
      <c r="E19" s="13">
        <f t="shared" si="0"/>
        <v>-203267</v>
      </c>
      <c r="F19" s="95">
        <f t="shared" si="1"/>
        <v>0.9963</v>
      </c>
      <c r="G19" s="19"/>
      <c r="H19" s="122"/>
      <c r="I19" s="122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</row>
    <row r="20" spans="1:9" ht="31.5" customHeight="1">
      <c r="A20" s="66" t="s">
        <v>106</v>
      </c>
      <c r="B20" s="71" t="s">
        <v>107</v>
      </c>
      <c r="C20" s="15">
        <v>28000</v>
      </c>
      <c r="D20" s="15">
        <f>C20+11888</f>
        <v>39888</v>
      </c>
      <c r="E20" s="15">
        <f t="shared" si="0"/>
        <v>11888</v>
      </c>
      <c r="F20" s="96">
        <f t="shared" si="1"/>
        <v>1.4246</v>
      </c>
      <c r="H20" s="122"/>
      <c r="I20" s="122"/>
    </row>
    <row r="21" spans="1:9" ht="31.5" customHeight="1">
      <c r="A21" s="66" t="s">
        <v>108</v>
      </c>
      <c r="B21" s="71" t="s">
        <v>109</v>
      </c>
      <c r="C21" s="15">
        <v>629</v>
      </c>
      <c r="D21" s="15">
        <f>C21</f>
        <v>629</v>
      </c>
      <c r="E21" s="15" t="str">
        <f t="shared" si="0"/>
        <v>-</v>
      </c>
      <c r="F21" s="96">
        <f t="shared" si="1"/>
        <v>1</v>
      </c>
      <c r="H21" s="122"/>
      <c r="I21" s="122"/>
    </row>
    <row r="22" spans="1:9" ht="50.25" customHeight="1">
      <c r="A22" s="66" t="s">
        <v>110</v>
      </c>
      <c r="B22" s="71" t="s">
        <v>145</v>
      </c>
      <c r="C22" s="15">
        <v>65016</v>
      </c>
      <c r="D22" s="15">
        <f>C22</f>
        <v>65016</v>
      </c>
      <c r="E22" s="15" t="str">
        <f t="shared" si="0"/>
        <v>-</v>
      </c>
      <c r="F22" s="96">
        <f t="shared" si="1"/>
        <v>1</v>
      </c>
      <c r="H22" s="122"/>
      <c r="I22" s="122"/>
    </row>
    <row r="23" spans="1:9" ht="31.5" customHeight="1">
      <c r="A23" s="66" t="s">
        <v>111</v>
      </c>
      <c r="B23" s="72" t="s">
        <v>112</v>
      </c>
      <c r="C23" s="15">
        <v>1730500</v>
      </c>
      <c r="D23" s="15">
        <f>C23</f>
        <v>1730500</v>
      </c>
      <c r="E23" s="15" t="str">
        <f t="shared" si="0"/>
        <v>-</v>
      </c>
      <c r="F23" s="96">
        <f t="shared" si="1"/>
        <v>1</v>
      </c>
      <c r="H23" s="122"/>
      <c r="I23" s="122"/>
    </row>
    <row r="24" spans="1:92" s="14" customFormat="1" ht="36" customHeight="1">
      <c r="A24" s="69" t="s">
        <v>185</v>
      </c>
      <c r="B24" s="70" t="s">
        <v>151</v>
      </c>
      <c r="C24" s="13">
        <f>C25+C26+C47+C48</f>
        <v>57314166</v>
      </c>
      <c r="D24" s="13">
        <f>D25+D26+D47+D48</f>
        <v>57137936</v>
      </c>
      <c r="E24" s="13">
        <f t="shared" si="0"/>
        <v>-176230</v>
      </c>
      <c r="F24" s="95">
        <f t="shared" si="1"/>
        <v>0.9969</v>
      </c>
      <c r="G24" s="19"/>
      <c r="H24" s="122"/>
      <c r="I24" s="122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</row>
    <row r="25" spans="1:92" s="14" customFormat="1" ht="36" customHeight="1">
      <c r="A25" s="69" t="s">
        <v>113</v>
      </c>
      <c r="B25" s="70" t="s">
        <v>114</v>
      </c>
      <c r="C25" s="13">
        <v>0</v>
      </c>
      <c r="D25" s="13">
        <f>C25</f>
        <v>0</v>
      </c>
      <c r="E25" s="13" t="str">
        <f t="shared" si="0"/>
        <v>-</v>
      </c>
      <c r="F25" s="95" t="str">
        <f t="shared" si="1"/>
        <v>-</v>
      </c>
      <c r="G25" s="19"/>
      <c r="H25" s="122"/>
      <c r="I25" s="122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</row>
    <row r="26" spans="1:92" s="14" customFormat="1" ht="36" customHeight="1">
      <c r="A26" s="69" t="s">
        <v>0</v>
      </c>
      <c r="B26" s="70" t="s">
        <v>190</v>
      </c>
      <c r="C26" s="34">
        <f>C27+C28+C29+C31+C32+C33+C34+C35+C36+C37+C38+C39+C40+C41+C43+C44+C45+C46</f>
        <v>55583037</v>
      </c>
      <c r="D26" s="34">
        <f>D27+D28+D29+D31+D32+D33+D34+D35+D36+D37+D38+D39+D40+D41+D43+D44+D45+D46</f>
        <v>55406807</v>
      </c>
      <c r="E26" s="101">
        <f>IF(C26=D26,"-",D26-C26)</f>
        <v>-176230</v>
      </c>
      <c r="F26" s="97">
        <f t="shared" si="1"/>
        <v>0.9968</v>
      </c>
      <c r="G26" s="19"/>
      <c r="H26" s="122"/>
      <c r="I26" s="122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</row>
    <row r="27" spans="1:9" ht="30" customHeight="1">
      <c r="A27" s="73" t="s">
        <v>1</v>
      </c>
      <c r="B27" s="75" t="s">
        <v>167</v>
      </c>
      <c r="C27" s="15">
        <f>CENTRALA!C8+'Razem OW'!C8</f>
        <v>7317054</v>
      </c>
      <c r="D27" s="15">
        <f>CENTRALA!D8+'Razem OW'!D8</f>
        <v>7317054</v>
      </c>
      <c r="E27" s="15" t="str">
        <f t="shared" si="0"/>
        <v>-</v>
      </c>
      <c r="F27" s="96">
        <f t="shared" si="1"/>
        <v>1</v>
      </c>
      <c r="H27" s="122"/>
      <c r="I27" s="122"/>
    </row>
    <row r="28" spans="1:9" ht="30" customHeight="1">
      <c r="A28" s="73" t="s">
        <v>2</v>
      </c>
      <c r="B28" s="75" t="s">
        <v>168</v>
      </c>
      <c r="C28" s="15">
        <f>CENTRALA!C9+'Razem OW'!C9</f>
        <v>4351264</v>
      </c>
      <c r="D28" s="15">
        <f>CENTRALA!D9+'Razem OW'!D9</f>
        <v>4351264</v>
      </c>
      <c r="E28" s="15" t="str">
        <f>IF(C28=D28,"-",D28-C28)</f>
        <v>-</v>
      </c>
      <c r="F28" s="96">
        <f t="shared" si="1"/>
        <v>1</v>
      </c>
      <c r="H28" s="122"/>
      <c r="I28" s="122"/>
    </row>
    <row r="29" spans="1:9" ht="30" customHeight="1">
      <c r="A29" s="73" t="s">
        <v>3</v>
      </c>
      <c r="B29" s="75" t="s">
        <v>158</v>
      </c>
      <c r="C29" s="15">
        <f>CENTRALA!C10+'Razem OW'!C10</f>
        <v>25973944</v>
      </c>
      <c r="D29" s="15">
        <f>CENTRALA!D10+'Razem OW'!D10</f>
        <v>25973944</v>
      </c>
      <c r="E29" s="15" t="str">
        <f t="shared" si="0"/>
        <v>-</v>
      </c>
      <c r="F29" s="96">
        <f t="shared" si="1"/>
        <v>1</v>
      </c>
      <c r="H29" s="122"/>
      <c r="I29" s="122"/>
    </row>
    <row r="30" spans="1:9" ht="30" customHeight="1">
      <c r="A30" s="73" t="s">
        <v>64</v>
      </c>
      <c r="B30" s="74" t="s">
        <v>65</v>
      </c>
      <c r="C30" s="15">
        <f>CENTRALA!C11+'Razem OW'!C11</f>
        <v>1246532</v>
      </c>
      <c r="D30" s="15">
        <f>CENTRALA!D11+'Razem OW'!D11</f>
        <v>1246532</v>
      </c>
      <c r="E30" s="15" t="str">
        <f t="shared" si="0"/>
        <v>-</v>
      </c>
      <c r="F30" s="96">
        <f t="shared" si="1"/>
        <v>1</v>
      </c>
      <c r="H30" s="122"/>
      <c r="I30" s="122"/>
    </row>
    <row r="31" spans="1:9" ht="30" customHeight="1">
      <c r="A31" s="73" t="s">
        <v>4</v>
      </c>
      <c r="B31" s="75" t="s">
        <v>174</v>
      </c>
      <c r="C31" s="15">
        <f>CENTRALA!C12+'Razem OW'!C12</f>
        <v>1981802</v>
      </c>
      <c r="D31" s="15">
        <f>CENTRALA!D12+'Razem OW'!D12</f>
        <v>1981802</v>
      </c>
      <c r="E31" s="15" t="str">
        <f t="shared" si="0"/>
        <v>-</v>
      </c>
      <c r="F31" s="96">
        <f t="shared" si="1"/>
        <v>1</v>
      </c>
      <c r="H31" s="122"/>
      <c r="I31" s="122"/>
    </row>
    <row r="32" spans="1:9" ht="30" customHeight="1">
      <c r="A32" s="73" t="s">
        <v>5</v>
      </c>
      <c r="B32" s="75" t="s">
        <v>169</v>
      </c>
      <c r="C32" s="15">
        <f>CENTRALA!C13+'Razem OW'!C13</f>
        <v>1778509</v>
      </c>
      <c r="D32" s="15">
        <f>CENTRALA!D13+'Razem OW'!D13</f>
        <v>1778509</v>
      </c>
      <c r="E32" s="15" t="str">
        <f t="shared" si="0"/>
        <v>-</v>
      </c>
      <c r="F32" s="96">
        <f t="shared" si="1"/>
        <v>1</v>
      </c>
      <c r="H32" s="122"/>
      <c r="I32" s="122"/>
    </row>
    <row r="33" spans="1:9" ht="30" customHeight="1">
      <c r="A33" s="73" t="s">
        <v>6</v>
      </c>
      <c r="B33" s="75" t="s">
        <v>178</v>
      </c>
      <c r="C33" s="15">
        <f>CENTRALA!C14+'Razem OW'!C14</f>
        <v>799607</v>
      </c>
      <c r="D33" s="15">
        <f>CENTRALA!D14+'Razem OW'!D14</f>
        <v>799607</v>
      </c>
      <c r="E33" s="15" t="str">
        <f t="shared" si="0"/>
        <v>-</v>
      </c>
      <c r="F33" s="96">
        <f t="shared" si="1"/>
        <v>1</v>
      </c>
      <c r="H33" s="122"/>
      <c r="I33" s="122"/>
    </row>
    <row r="34" spans="1:9" ht="30" customHeight="1">
      <c r="A34" s="73" t="s">
        <v>7</v>
      </c>
      <c r="B34" s="75" t="s">
        <v>177</v>
      </c>
      <c r="C34" s="15">
        <f>CENTRALA!C15+'Razem OW'!C15</f>
        <v>274697</v>
      </c>
      <c r="D34" s="15">
        <f>CENTRALA!D15+'Razem OW'!D15</f>
        <v>274697</v>
      </c>
      <c r="E34" s="15" t="str">
        <f>IF(C34=D34,"-",D34-C34)</f>
        <v>-</v>
      </c>
      <c r="F34" s="96">
        <f>IF(C34=0,"-",D34/C34)</f>
        <v>1</v>
      </c>
      <c r="H34" s="122"/>
      <c r="I34" s="122"/>
    </row>
    <row r="35" spans="1:9" ht="30" customHeight="1">
      <c r="A35" s="73" t="s">
        <v>8</v>
      </c>
      <c r="B35" s="75" t="s">
        <v>170</v>
      </c>
      <c r="C35" s="15">
        <f>CENTRALA!C16+'Razem OW'!C16</f>
        <v>1926475</v>
      </c>
      <c r="D35" s="15">
        <f>CENTRALA!D16+'Razem OW'!D16</f>
        <v>1926475</v>
      </c>
      <c r="E35" s="15" t="str">
        <f t="shared" si="0"/>
        <v>-</v>
      </c>
      <c r="F35" s="96">
        <f t="shared" si="1"/>
        <v>1</v>
      </c>
      <c r="H35" s="122"/>
      <c r="I35" s="122"/>
    </row>
    <row r="36" spans="1:9" ht="30" customHeight="1">
      <c r="A36" s="73" t="s">
        <v>9</v>
      </c>
      <c r="B36" s="75" t="s">
        <v>171</v>
      </c>
      <c r="C36" s="15">
        <f>CENTRALA!C17+'Razem OW'!C17</f>
        <v>675845</v>
      </c>
      <c r="D36" s="15">
        <f>CENTRALA!D17+'Razem OW'!D17</f>
        <v>675845</v>
      </c>
      <c r="E36" s="15" t="str">
        <f t="shared" si="0"/>
        <v>-</v>
      </c>
      <c r="F36" s="96">
        <f t="shared" si="1"/>
        <v>1</v>
      </c>
      <c r="H36" s="122"/>
      <c r="I36" s="122"/>
    </row>
    <row r="37" spans="1:9" ht="30" customHeight="1">
      <c r="A37" s="73" t="s">
        <v>10</v>
      </c>
      <c r="B37" s="75" t="s">
        <v>179</v>
      </c>
      <c r="C37" s="15">
        <f>CENTRALA!C18+'Razem OW'!C18</f>
        <v>36798</v>
      </c>
      <c r="D37" s="15">
        <f>CENTRALA!D18+'Razem OW'!D18</f>
        <v>36798</v>
      </c>
      <c r="E37" s="15" t="str">
        <f t="shared" si="0"/>
        <v>-</v>
      </c>
      <c r="F37" s="96">
        <f t="shared" si="1"/>
        <v>1</v>
      </c>
      <c r="H37" s="122"/>
      <c r="I37" s="122"/>
    </row>
    <row r="38" spans="1:9" ht="30" customHeight="1">
      <c r="A38" s="73" t="s">
        <v>11</v>
      </c>
      <c r="B38" s="75" t="s">
        <v>172</v>
      </c>
      <c r="C38" s="15">
        <f>CENTRALA!C19+'Razem OW'!C19</f>
        <v>132389</v>
      </c>
      <c r="D38" s="15">
        <f>CENTRALA!D19+'Razem OW'!D19</f>
        <v>132389</v>
      </c>
      <c r="E38" s="15" t="str">
        <f t="shared" si="0"/>
        <v>-</v>
      </c>
      <c r="F38" s="96">
        <f t="shared" si="1"/>
        <v>1</v>
      </c>
      <c r="H38" s="122"/>
      <c r="I38" s="122"/>
    </row>
    <row r="39" spans="1:9" ht="30" customHeight="1">
      <c r="A39" s="73" t="s">
        <v>12</v>
      </c>
      <c r="B39" s="75" t="s">
        <v>173</v>
      </c>
      <c r="C39" s="15">
        <f>CENTRALA!C20+'Razem OW'!C20</f>
        <v>1318470</v>
      </c>
      <c r="D39" s="15">
        <f>CENTRALA!D20+'Razem OW'!D20</f>
        <v>1318470</v>
      </c>
      <c r="E39" s="15" t="str">
        <f t="shared" si="0"/>
        <v>-</v>
      </c>
      <c r="F39" s="96">
        <f t="shared" si="1"/>
        <v>1</v>
      </c>
      <c r="H39" s="122"/>
      <c r="I39" s="122"/>
    </row>
    <row r="40" spans="1:9" ht="30" customHeight="1">
      <c r="A40" s="73" t="s">
        <v>14</v>
      </c>
      <c r="B40" s="75" t="s">
        <v>13</v>
      </c>
      <c r="C40" s="15">
        <f>CENTRALA!C21+'Razem OW'!C21</f>
        <v>590282</v>
      </c>
      <c r="D40" s="15">
        <f>CENTRALA!D21+'Razem OW'!D21</f>
        <v>590282</v>
      </c>
      <c r="E40" s="15" t="str">
        <f t="shared" si="0"/>
        <v>-</v>
      </c>
      <c r="F40" s="96">
        <f t="shared" si="1"/>
        <v>1</v>
      </c>
      <c r="H40" s="122"/>
      <c r="I40" s="122"/>
    </row>
    <row r="41" spans="1:9" ht="30" customHeight="1">
      <c r="A41" s="73" t="s">
        <v>15</v>
      </c>
      <c r="B41" s="75" t="s">
        <v>175</v>
      </c>
      <c r="C41" s="15">
        <f>CENTRALA!C22+'Razem OW'!C22</f>
        <v>7897870</v>
      </c>
      <c r="D41" s="15">
        <f>CENTRALA!D22+'Razem OW'!D22</f>
        <v>7897870</v>
      </c>
      <c r="E41" s="15" t="str">
        <f t="shared" si="0"/>
        <v>-</v>
      </c>
      <c r="F41" s="96">
        <f t="shared" si="1"/>
        <v>1</v>
      </c>
      <c r="H41" s="122"/>
      <c r="I41" s="122"/>
    </row>
    <row r="42" spans="1:9" ht="30" customHeight="1">
      <c r="A42" s="73" t="s">
        <v>180</v>
      </c>
      <c r="B42" s="74" t="s">
        <v>66</v>
      </c>
      <c r="C42" s="15">
        <f>CENTRALA!C23+'Razem OW'!C23</f>
        <v>25476</v>
      </c>
      <c r="D42" s="15">
        <f>CENTRALA!D23+'Razem OW'!D23</f>
        <v>25476</v>
      </c>
      <c r="E42" s="15" t="str">
        <f t="shared" si="0"/>
        <v>-</v>
      </c>
      <c r="F42" s="96">
        <f t="shared" si="1"/>
        <v>1</v>
      </c>
      <c r="H42" s="122"/>
      <c r="I42" s="122"/>
    </row>
    <row r="43" spans="1:9" ht="36" customHeight="1">
      <c r="A43" s="73" t="s">
        <v>16</v>
      </c>
      <c r="B43" s="75" t="s">
        <v>140</v>
      </c>
      <c r="C43" s="15">
        <f>CENTRALA!C24+'Razem OW'!C24</f>
        <v>416230</v>
      </c>
      <c r="D43" s="15">
        <f>CENTRALA!D24+'Razem OW'!D24</f>
        <v>240000</v>
      </c>
      <c r="E43" s="15">
        <f t="shared" si="0"/>
        <v>-176230</v>
      </c>
      <c r="F43" s="96">
        <f t="shared" si="1"/>
        <v>0.5766</v>
      </c>
      <c r="H43" s="122"/>
      <c r="I43" s="122"/>
    </row>
    <row r="44" spans="1:9" ht="30" customHeight="1">
      <c r="A44" s="73" t="s">
        <v>137</v>
      </c>
      <c r="B44" s="75" t="s">
        <v>60</v>
      </c>
      <c r="C44" s="15">
        <f>CENTRALA!C25+'Razem OW'!C25</f>
        <v>8741</v>
      </c>
      <c r="D44" s="15">
        <f>CENTRALA!D25+'Razem OW'!D25</f>
        <v>8741</v>
      </c>
      <c r="E44" s="15" t="str">
        <f t="shared" si="0"/>
        <v>-</v>
      </c>
      <c r="F44" s="96">
        <f t="shared" si="1"/>
        <v>1</v>
      </c>
      <c r="H44" s="122"/>
      <c r="I44" s="122"/>
    </row>
    <row r="45" spans="1:9" ht="30" customHeight="1">
      <c r="A45" s="73" t="s">
        <v>138</v>
      </c>
      <c r="B45" s="75" t="s">
        <v>141</v>
      </c>
      <c r="C45" s="15">
        <f>CENTRALA!C26+'Razem OW'!C26</f>
        <v>0</v>
      </c>
      <c r="D45" s="15">
        <f>CENTRALA!D26+'Razem OW'!D26</f>
        <v>0</v>
      </c>
      <c r="E45" s="15" t="str">
        <f t="shared" si="0"/>
        <v>-</v>
      </c>
      <c r="F45" s="96" t="str">
        <f t="shared" si="1"/>
        <v>-</v>
      </c>
      <c r="H45" s="122"/>
      <c r="I45" s="122"/>
    </row>
    <row r="46" spans="1:9" ht="30" customHeight="1">
      <c r="A46" s="73" t="s">
        <v>139</v>
      </c>
      <c r="B46" s="75" t="s">
        <v>142</v>
      </c>
      <c r="C46" s="15">
        <f>CENTRALA!C27+'Razem OW'!C27</f>
        <v>103060</v>
      </c>
      <c r="D46" s="15">
        <f>CENTRALA!D27+'Razem OW'!D27</f>
        <v>103060</v>
      </c>
      <c r="E46" s="15" t="str">
        <f aca="true" t="shared" si="2" ref="E46:E91">IF(C46=D46,"-",D46-C46)</f>
        <v>-</v>
      </c>
      <c r="F46" s="96">
        <f aca="true" t="shared" si="3" ref="F46:F91">IF(C46=0,"-",D46/C46)</f>
        <v>1</v>
      </c>
      <c r="H46" s="122"/>
      <c r="I46" s="122"/>
    </row>
    <row r="47" spans="1:92" s="14" customFormat="1" ht="30.75" customHeight="1">
      <c r="A47" s="44" t="s">
        <v>68</v>
      </c>
      <c r="B47" s="76" t="s">
        <v>115</v>
      </c>
      <c r="C47" s="29">
        <f>CENTRALA!C28+'Razem OW'!C28</f>
        <v>629</v>
      </c>
      <c r="D47" s="29">
        <f>CENTRALA!D28+'Razem OW'!D28</f>
        <v>629</v>
      </c>
      <c r="E47" s="29" t="str">
        <f t="shared" si="2"/>
        <v>-</v>
      </c>
      <c r="F47" s="98">
        <f t="shared" si="3"/>
        <v>1</v>
      </c>
      <c r="G47" s="19"/>
      <c r="H47" s="122"/>
      <c r="I47" s="122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</row>
    <row r="48" spans="1:92" s="14" customFormat="1" ht="30.75" customHeight="1">
      <c r="A48" s="44" t="s">
        <v>67</v>
      </c>
      <c r="B48" s="76" t="s">
        <v>70</v>
      </c>
      <c r="C48" s="13">
        <f>CENTRALA!C29+'Razem OW'!C29</f>
        <v>1730500</v>
      </c>
      <c r="D48" s="13">
        <f>CENTRALA!D29+'Razem OW'!D29</f>
        <v>1730500</v>
      </c>
      <c r="E48" s="13" t="str">
        <f t="shared" si="2"/>
        <v>-</v>
      </c>
      <c r="F48" s="95">
        <f t="shared" si="3"/>
        <v>1</v>
      </c>
      <c r="G48" s="19"/>
      <c r="H48" s="122"/>
      <c r="I48" s="122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</row>
    <row r="49" spans="1:92" s="14" customFormat="1" ht="33" customHeight="1">
      <c r="A49" s="64" t="s">
        <v>186</v>
      </c>
      <c r="B49" s="65" t="s">
        <v>150</v>
      </c>
      <c r="C49" s="13">
        <f>C19-C24</f>
        <v>-1667454</v>
      </c>
      <c r="D49" s="13">
        <f>D19-D24</f>
        <v>-1694491</v>
      </c>
      <c r="E49" s="13">
        <f t="shared" si="2"/>
        <v>-27037</v>
      </c>
      <c r="F49" s="95">
        <f t="shared" si="3"/>
        <v>1.0162</v>
      </c>
      <c r="G49" s="19"/>
      <c r="H49" s="122"/>
      <c r="I49" s="122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</row>
    <row r="50" spans="1:92" s="14" customFormat="1" ht="33" customHeight="1">
      <c r="A50" s="64" t="s">
        <v>187</v>
      </c>
      <c r="B50" s="65" t="s">
        <v>149</v>
      </c>
      <c r="C50" s="13">
        <f>C51+C52+C53+C61+C62+C67+C68+C69+C70</f>
        <v>620130</v>
      </c>
      <c r="D50" s="13">
        <f>D51+D52+D53+D61+D62+D67+D68+D69+D70</f>
        <v>620079</v>
      </c>
      <c r="E50" s="13">
        <f t="shared" si="2"/>
        <v>-51</v>
      </c>
      <c r="F50" s="95">
        <f t="shared" si="3"/>
        <v>0.9999</v>
      </c>
      <c r="G50" s="19"/>
      <c r="H50" s="122"/>
      <c r="I50" s="122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</row>
    <row r="51" spans="1:9" ht="30" customHeight="1">
      <c r="A51" s="66" t="s">
        <v>19</v>
      </c>
      <c r="B51" s="62" t="s">
        <v>20</v>
      </c>
      <c r="C51" s="15">
        <f>CENTRALA!C31+'Razem OW'!C31</f>
        <v>20034</v>
      </c>
      <c r="D51" s="15">
        <f>CENTRALA!D31+'Razem OW'!D31</f>
        <v>20004</v>
      </c>
      <c r="E51" s="15">
        <f t="shared" si="2"/>
        <v>-30</v>
      </c>
      <c r="F51" s="96">
        <f t="shared" si="3"/>
        <v>0.9985</v>
      </c>
      <c r="H51" s="122"/>
      <c r="I51" s="122"/>
    </row>
    <row r="52" spans="1:9" ht="30" customHeight="1">
      <c r="A52" s="66" t="s">
        <v>21</v>
      </c>
      <c r="B52" s="62" t="s">
        <v>22</v>
      </c>
      <c r="C52" s="15">
        <f>CENTRALA!C32+'Razem OW'!C32</f>
        <v>117036</v>
      </c>
      <c r="D52" s="15">
        <f>CENTRALA!D32+'Razem OW'!D32</f>
        <v>117035</v>
      </c>
      <c r="E52" s="15">
        <f t="shared" si="2"/>
        <v>-1</v>
      </c>
      <c r="F52" s="96">
        <f t="shared" si="3"/>
        <v>1</v>
      </c>
      <c r="H52" s="122"/>
      <c r="I52" s="122"/>
    </row>
    <row r="53" spans="1:9" ht="30" customHeight="1">
      <c r="A53" s="66" t="s">
        <v>23</v>
      </c>
      <c r="B53" s="77" t="s">
        <v>37</v>
      </c>
      <c r="C53" s="15">
        <f>C54+C56+C57+C58+C59+C60</f>
        <v>3767</v>
      </c>
      <c r="D53" s="15">
        <f>D54+D56+D57+D58+D59+D60</f>
        <v>3767</v>
      </c>
      <c r="E53" s="15" t="str">
        <f t="shared" si="2"/>
        <v>-</v>
      </c>
      <c r="F53" s="96">
        <f t="shared" si="3"/>
        <v>1</v>
      </c>
      <c r="H53" s="122"/>
      <c r="I53" s="122"/>
    </row>
    <row r="54" spans="1:9" s="17" customFormat="1" ht="30" customHeight="1">
      <c r="A54" s="78" t="s">
        <v>45</v>
      </c>
      <c r="B54" s="79" t="s">
        <v>38</v>
      </c>
      <c r="C54" s="15">
        <f>CENTRALA!C34+'Razem OW'!C34</f>
        <v>471</v>
      </c>
      <c r="D54" s="15">
        <f>CENTRALA!D34+'Razem OW'!D34</f>
        <v>471</v>
      </c>
      <c r="E54" s="15" t="str">
        <f t="shared" si="2"/>
        <v>-</v>
      </c>
      <c r="F54" s="96">
        <f t="shared" si="3"/>
        <v>1</v>
      </c>
      <c r="H54" s="122"/>
      <c r="I54" s="122"/>
    </row>
    <row r="55" spans="1:9" s="17" customFormat="1" ht="30" customHeight="1">
      <c r="A55" s="78" t="s">
        <v>46</v>
      </c>
      <c r="B55" s="80" t="s">
        <v>39</v>
      </c>
      <c r="C55" s="15">
        <f>CENTRALA!C35+'Razem OW'!C35</f>
        <v>449</v>
      </c>
      <c r="D55" s="15">
        <f>CENTRALA!D35+'Razem OW'!D35</f>
        <v>449</v>
      </c>
      <c r="E55" s="15" t="str">
        <f t="shared" si="2"/>
        <v>-</v>
      </c>
      <c r="F55" s="96">
        <f t="shared" si="3"/>
        <v>1</v>
      </c>
      <c r="H55" s="122"/>
      <c r="I55" s="122"/>
    </row>
    <row r="56" spans="1:9" s="17" customFormat="1" ht="30" customHeight="1">
      <c r="A56" s="78" t="s">
        <v>47</v>
      </c>
      <c r="B56" s="79" t="s">
        <v>40</v>
      </c>
      <c r="C56" s="15">
        <f>CENTRALA!C36+'Razem OW'!C36</f>
        <v>130</v>
      </c>
      <c r="D56" s="15">
        <f>CENTRALA!D36+'Razem OW'!D36</f>
        <v>130</v>
      </c>
      <c r="E56" s="15" t="str">
        <f t="shared" si="2"/>
        <v>-</v>
      </c>
      <c r="F56" s="96">
        <f t="shared" si="3"/>
        <v>1</v>
      </c>
      <c r="H56" s="122"/>
      <c r="I56" s="122"/>
    </row>
    <row r="57" spans="1:9" s="17" customFormat="1" ht="30" customHeight="1">
      <c r="A57" s="78" t="s">
        <v>48</v>
      </c>
      <c r="B57" s="79" t="s">
        <v>41</v>
      </c>
      <c r="C57" s="15">
        <f>CENTRALA!C37+'Razem OW'!C37</f>
        <v>22</v>
      </c>
      <c r="D57" s="15">
        <f>CENTRALA!D37+'Razem OW'!D37</f>
        <v>22</v>
      </c>
      <c r="E57" s="15" t="str">
        <f t="shared" si="2"/>
        <v>-</v>
      </c>
      <c r="F57" s="96">
        <f t="shared" si="3"/>
        <v>1</v>
      </c>
      <c r="H57" s="122"/>
      <c r="I57" s="122"/>
    </row>
    <row r="58" spans="1:9" s="17" customFormat="1" ht="30" customHeight="1">
      <c r="A58" s="78" t="s">
        <v>49</v>
      </c>
      <c r="B58" s="79" t="s">
        <v>42</v>
      </c>
      <c r="C58" s="15">
        <f>CENTRALA!C38+'Razem OW'!C38</f>
        <v>0</v>
      </c>
      <c r="D58" s="15">
        <f>CENTRALA!D38+'Razem OW'!D38</f>
        <v>0</v>
      </c>
      <c r="E58" s="15" t="str">
        <f t="shared" si="2"/>
        <v>-</v>
      </c>
      <c r="F58" s="96" t="str">
        <f t="shared" si="3"/>
        <v>-</v>
      </c>
      <c r="H58" s="122"/>
      <c r="I58" s="122"/>
    </row>
    <row r="59" spans="1:9" s="17" customFormat="1" ht="30" customHeight="1">
      <c r="A59" s="78" t="s">
        <v>50</v>
      </c>
      <c r="B59" s="79" t="s">
        <v>43</v>
      </c>
      <c r="C59" s="15">
        <f>CENTRALA!C39+'Razem OW'!C39</f>
        <v>2929</v>
      </c>
      <c r="D59" s="15">
        <f>CENTRALA!D39+'Razem OW'!D39</f>
        <v>2929</v>
      </c>
      <c r="E59" s="15" t="str">
        <f t="shared" si="2"/>
        <v>-</v>
      </c>
      <c r="F59" s="96">
        <f t="shared" si="3"/>
        <v>1</v>
      </c>
      <c r="H59" s="122"/>
      <c r="I59" s="122"/>
    </row>
    <row r="60" spans="1:9" s="18" customFormat="1" ht="30" customHeight="1">
      <c r="A60" s="78" t="s">
        <v>51</v>
      </c>
      <c r="B60" s="79" t="s">
        <v>44</v>
      </c>
      <c r="C60" s="15">
        <f>CENTRALA!C40+'Razem OW'!C40</f>
        <v>215</v>
      </c>
      <c r="D60" s="15">
        <f>CENTRALA!D40+'Razem OW'!D40</f>
        <v>215</v>
      </c>
      <c r="E60" s="15" t="str">
        <f t="shared" si="2"/>
        <v>-</v>
      </c>
      <c r="F60" s="96">
        <f t="shared" si="3"/>
        <v>1</v>
      </c>
      <c r="H60" s="122"/>
      <c r="I60" s="122"/>
    </row>
    <row r="61" spans="1:9" ht="30" customHeight="1">
      <c r="A61" s="43" t="s">
        <v>24</v>
      </c>
      <c r="B61" s="62" t="s">
        <v>25</v>
      </c>
      <c r="C61" s="15">
        <f>CENTRALA!C41+'Razem OW'!C41</f>
        <v>292439</v>
      </c>
      <c r="D61" s="15">
        <f>CENTRALA!D41+'Razem OW'!D41</f>
        <v>292419</v>
      </c>
      <c r="E61" s="15">
        <f t="shared" si="2"/>
        <v>-20</v>
      </c>
      <c r="F61" s="96">
        <f t="shared" si="3"/>
        <v>0.9999</v>
      </c>
      <c r="H61" s="122"/>
      <c r="I61" s="122"/>
    </row>
    <row r="62" spans="1:9" ht="30" customHeight="1">
      <c r="A62" s="66" t="s">
        <v>26</v>
      </c>
      <c r="B62" s="71" t="s">
        <v>61</v>
      </c>
      <c r="C62" s="15">
        <f>SUM(C63:C66)</f>
        <v>60081</v>
      </c>
      <c r="D62" s="15">
        <f>SUM(D63:D66)</f>
        <v>60081</v>
      </c>
      <c r="E62" s="15" t="str">
        <f t="shared" si="2"/>
        <v>-</v>
      </c>
      <c r="F62" s="96">
        <f t="shared" si="3"/>
        <v>1</v>
      </c>
      <c r="H62" s="122"/>
      <c r="I62" s="122"/>
    </row>
    <row r="63" spans="1:9" s="17" customFormat="1" ht="30" customHeight="1">
      <c r="A63" s="78" t="s">
        <v>56</v>
      </c>
      <c r="B63" s="79" t="s">
        <v>52</v>
      </c>
      <c r="C63" s="15">
        <f>CENTRALA!C43+'Razem OW'!C43</f>
        <v>44217</v>
      </c>
      <c r="D63" s="15">
        <f>CENTRALA!D43+'Razem OW'!D43</f>
        <v>44217</v>
      </c>
      <c r="E63" s="15" t="str">
        <f t="shared" si="2"/>
        <v>-</v>
      </c>
      <c r="F63" s="96">
        <f t="shared" si="3"/>
        <v>1</v>
      </c>
      <c r="H63" s="122"/>
      <c r="I63" s="122"/>
    </row>
    <row r="64" spans="1:9" s="17" customFormat="1" ht="30" customHeight="1">
      <c r="A64" s="78" t="s">
        <v>57</v>
      </c>
      <c r="B64" s="79" t="s">
        <v>53</v>
      </c>
      <c r="C64" s="15">
        <f>CENTRALA!C44+'Razem OW'!C44</f>
        <v>7163</v>
      </c>
      <c r="D64" s="15">
        <f>CENTRALA!D44+'Razem OW'!D44</f>
        <v>7163</v>
      </c>
      <c r="E64" s="15" t="str">
        <f t="shared" si="2"/>
        <v>-</v>
      </c>
      <c r="F64" s="96">
        <f t="shared" si="3"/>
        <v>1</v>
      </c>
      <c r="H64" s="122"/>
      <c r="I64" s="122"/>
    </row>
    <row r="65" spans="1:9" s="17" customFormat="1" ht="30" customHeight="1">
      <c r="A65" s="78" t="s">
        <v>58</v>
      </c>
      <c r="B65" s="79" t="s">
        <v>54</v>
      </c>
      <c r="C65" s="15">
        <f>CENTRALA!C45+'Razem OW'!C45</f>
        <v>0</v>
      </c>
      <c r="D65" s="15">
        <f>CENTRALA!D45+'Razem OW'!D45</f>
        <v>0</v>
      </c>
      <c r="E65" s="15" t="str">
        <f t="shared" si="2"/>
        <v>-</v>
      </c>
      <c r="F65" s="96" t="str">
        <f t="shared" si="3"/>
        <v>-</v>
      </c>
      <c r="H65" s="122"/>
      <c r="I65" s="122"/>
    </row>
    <row r="66" spans="1:9" s="17" customFormat="1" ht="30" customHeight="1">
      <c r="A66" s="78" t="s">
        <v>59</v>
      </c>
      <c r="B66" s="79" t="s">
        <v>55</v>
      </c>
      <c r="C66" s="15">
        <f>CENTRALA!C46+'Razem OW'!C46</f>
        <v>8701</v>
      </c>
      <c r="D66" s="15">
        <f>CENTRALA!D46+'Razem OW'!D46</f>
        <v>8701</v>
      </c>
      <c r="E66" s="15" t="str">
        <f t="shared" si="2"/>
        <v>-</v>
      </c>
      <c r="F66" s="96">
        <f t="shared" si="3"/>
        <v>1</v>
      </c>
      <c r="H66" s="122"/>
      <c r="I66" s="122"/>
    </row>
    <row r="67" spans="1:9" ht="30" customHeight="1">
      <c r="A67" s="66" t="s">
        <v>27</v>
      </c>
      <c r="B67" s="67" t="s">
        <v>28</v>
      </c>
      <c r="C67" s="15">
        <f>CENTRALA!C47+'Razem OW'!C47</f>
        <v>200</v>
      </c>
      <c r="D67" s="15">
        <f>CENTRALA!D47+'Razem OW'!D47</f>
        <v>200</v>
      </c>
      <c r="E67" s="15" t="str">
        <f t="shared" si="2"/>
        <v>-</v>
      </c>
      <c r="F67" s="96">
        <f t="shared" si="3"/>
        <v>1</v>
      </c>
      <c r="H67" s="122"/>
      <c r="I67" s="122"/>
    </row>
    <row r="68" spans="1:9" ht="42" customHeight="1">
      <c r="A68" s="66" t="s">
        <v>29</v>
      </c>
      <c r="B68" s="67" t="s">
        <v>116</v>
      </c>
      <c r="C68" s="15">
        <f>CENTRALA!C48+'Razem OW'!C48</f>
        <v>116802</v>
      </c>
      <c r="D68" s="15">
        <f>CENTRALA!D48+'Razem OW'!D48</f>
        <v>116802</v>
      </c>
      <c r="E68" s="15" t="str">
        <f t="shared" si="2"/>
        <v>-</v>
      </c>
      <c r="F68" s="96">
        <f t="shared" si="3"/>
        <v>1</v>
      </c>
      <c r="H68" s="122"/>
      <c r="I68" s="122"/>
    </row>
    <row r="69" spans="1:9" ht="42" customHeight="1">
      <c r="A69" s="66" t="s">
        <v>30</v>
      </c>
      <c r="B69" s="67" t="s">
        <v>31</v>
      </c>
      <c r="C69" s="15">
        <f>CENTRALA!C49+'Razem OW'!C49</f>
        <v>4627</v>
      </c>
      <c r="D69" s="15">
        <f>CENTRALA!D49+'Razem OW'!D49</f>
        <v>4627</v>
      </c>
      <c r="E69" s="15" t="str">
        <f t="shared" si="2"/>
        <v>-</v>
      </c>
      <c r="F69" s="96">
        <f t="shared" si="3"/>
        <v>1</v>
      </c>
      <c r="H69" s="122"/>
      <c r="I69" s="122"/>
    </row>
    <row r="70" spans="1:9" ht="30" customHeight="1">
      <c r="A70" s="66" t="s">
        <v>32</v>
      </c>
      <c r="B70" s="67" t="s">
        <v>33</v>
      </c>
      <c r="C70" s="15">
        <f>CENTRALA!C50+'Razem OW'!C50</f>
        <v>5144</v>
      </c>
      <c r="D70" s="15">
        <f>CENTRALA!D50+'Razem OW'!D50</f>
        <v>5144</v>
      </c>
      <c r="E70" s="15" t="str">
        <f t="shared" si="2"/>
        <v>-</v>
      </c>
      <c r="F70" s="96">
        <f t="shared" si="3"/>
        <v>1</v>
      </c>
      <c r="H70" s="122"/>
      <c r="I70" s="122"/>
    </row>
    <row r="71" spans="1:92" s="14" customFormat="1" ht="33" customHeight="1">
      <c r="A71" s="81" t="s">
        <v>188</v>
      </c>
      <c r="B71" s="82" t="s">
        <v>191</v>
      </c>
      <c r="C71" s="13">
        <f>SUM(C72:C73)</f>
        <v>851896</v>
      </c>
      <c r="D71" s="13">
        <f>SUM(D72:D73)</f>
        <v>936449</v>
      </c>
      <c r="E71" s="13">
        <f t="shared" si="2"/>
        <v>84553</v>
      </c>
      <c r="F71" s="95">
        <f t="shared" si="3"/>
        <v>1.0993</v>
      </c>
      <c r="G71" s="19"/>
      <c r="H71" s="122"/>
      <c r="I71" s="122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</row>
    <row r="72" spans="1:9" ht="72" customHeight="1">
      <c r="A72" s="66" t="s">
        <v>117</v>
      </c>
      <c r="B72" s="67" t="s">
        <v>240</v>
      </c>
      <c r="C72" s="15">
        <v>0</v>
      </c>
      <c r="D72" s="15">
        <f>C72+206</f>
        <v>206</v>
      </c>
      <c r="E72" s="15">
        <f t="shared" si="2"/>
        <v>206</v>
      </c>
      <c r="F72" s="96" t="str">
        <f t="shared" si="3"/>
        <v>-</v>
      </c>
      <c r="H72" s="122"/>
      <c r="I72" s="122"/>
    </row>
    <row r="73" spans="1:9" ht="30" customHeight="1">
      <c r="A73" s="66" t="s">
        <v>153</v>
      </c>
      <c r="B73" s="71" t="s">
        <v>118</v>
      </c>
      <c r="C73" s="15">
        <v>851896</v>
      </c>
      <c r="D73" s="15">
        <f>C73+84398-51</f>
        <v>936243</v>
      </c>
      <c r="E73" s="15">
        <f t="shared" si="2"/>
        <v>84347</v>
      </c>
      <c r="F73" s="96">
        <f t="shared" si="3"/>
        <v>1.099</v>
      </c>
      <c r="H73" s="122"/>
      <c r="I73" s="122"/>
    </row>
    <row r="74" spans="1:92" s="14" customFormat="1" ht="33" customHeight="1">
      <c r="A74" s="81" t="s">
        <v>192</v>
      </c>
      <c r="B74" s="82" t="s">
        <v>189</v>
      </c>
      <c r="C74" s="13">
        <f>C75+C76+C77+C78</f>
        <v>256500</v>
      </c>
      <c r="D74" s="13">
        <f>D75+D76+D77+D78</f>
        <v>350451</v>
      </c>
      <c r="E74" s="13">
        <f t="shared" si="2"/>
        <v>93951</v>
      </c>
      <c r="F74" s="95">
        <f t="shared" si="3"/>
        <v>1.3663</v>
      </c>
      <c r="G74" s="19"/>
      <c r="H74" s="122"/>
      <c r="I74" s="122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</row>
    <row r="75" spans="1:9" ht="47.25" customHeight="1">
      <c r="A75" s="66" t="s">
        <v>119</v>
      </c>
      <c r="B75" s="67" t="s">
        <v>144</v>
      </c>
      <c r="C75" s="15">
        <f>CENTRALA!C52+'Razem OW'!C52</f>
        <v>13264</v>
      </c>
      <c r="D75" s="15">
        <f>CENTRALA!D52+'Razem OW'!D52</f>
        <v>7222</v>
      </c>
      <c r="E75" s="15">
        <f t="shared" si="2"/>
        <v>-6042</v>
      </c>
      <c r="F75" s="96">
        <f t="shared" si="3"/>
        <v>0.5445</v>
      </c>
      <c r="H75" s="122"/>
      <c r="I75" s="122"/>
    </row>
    <row r="76" spans="1:9" ht="33.75" customHeight="1">
      <c r="A76" s="66" t="s">
        <v>35</v>
      </c>
      <c r="B76" s="67" t="s">
        <v>63</v>
      </c>
      <c r="C76" s="15">
        <f>CENTRALA!C53+'Razem OW'!C53</f>
        <v>224451</v>
      </c>
      <c r="D76" s="15">
        <f>CENTRALA!D53+'Razem OW'!D53</f>
        <v>257866</v>
      </c>
      <c r="E76" s="15">
        <f t="shared" si="2"/>
        <v>33415</v>
      </c>
      <c r="F76" s="96">
        <f t="shared" si="3"/>
        <v>1.1489</v>
      </c>
      <c r="H76" s="122"/>
      <c r="I76" s="122"/>
    </row>
    <row r="77" spans="1:9" ht="30" customHeight="1">
      <c r="A77" s="66" t="s">
        <v>36</v>
      </c>
      <c r="B77" s="67" t="s">
        <v>121</v>
      </c>
      <c r="C77" s="15">
        <f>CENTRALA!C54+'Razem OW'!C54</f>
        <v>0</v>
      </c>
      <c r="D77" s="15">
        <f>CENTRALA!D54+'Razem OW'!D54</f>
        <v>0</v>
      </c>
      <c r="E77" s="15" t="str">
        <f t="shared" si="2"/>
        <v>-</v>
      </c>
      <c r="F77" s="96" t="str">
        <f t="shared" si="3"/>
        <v>-</v>
      </c>
      <c r="H77" s="122"/>
      <c r="I77" s="122"/>
    </row>
    <row r="78" spans="1:9" ht="30" customHeight="1">
      <c r="A78" s="66" t="s">
        <v>120</v>
      </c>
      <c r="B78" s="71" t="s">
        <v>122</v>
      </c>
      <c r="C78" s="15">
        <f>CENTRALA!C55+'Razem OW'!C55</f>
        <v>18785</v>
      </c>
      <c r="D78" s="15">
        <f>CENTRALA!D55+'Razem OW'!D55</f>
        <v>85363</v>
      </c>
      <c r="E78" s="15">
        <f t="shared" si="2"/>
        <v>66578</v>
      </c>
      <c r="F78" s="96">
        <f t="shared" si="3"/>
        <v>4.5442</v>
      </c>
      <c r="H78" s="122"/>
      <c r="I78" s="122"/>
    </row>
    <row r="79" spans="1:92" s="14" customFormat="1" ht="33" customHeight="1">
      <c r="A79" s="81" t="s">
        <v>193</v>
      </c>
      <c r="B79" s="82" t="s">
        <v>148</v>
      </c>
      <c r="C79" s="13">
        <f>C80+C81</f>
        <v>141710</v>
      </c>
      <c r="D79" s="13">
        <f>D80+D81</f>
        <v>208496</v>
      </c>
      <c r="E79" s="13">
        <f t="shared" si="2"/>
        <v>66786</v>
      </c>
      <c r="F79" s="95">
        <f t="shared" si="3"/>
        <v>1.4713</v>
      </c>
      <c r="G79" s="19"/>
      <c r="H79" s="122"/>
      <c r="I79" s="122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</row>
    <row r="80" spans="1:9" ht="30" customHeight="1">
      <c r="A80" s="66" t="s">
        <v>123</v>
      </c>
      <c r="B80" s="67" t="s">
        <v>124</v>
      </c>
      <c r="C80" s="15">
        <v>141710</v>
      </c>
      <c r="D80" s="15">
        <f>C80+45302</f>
        <v>187012</v>
      </c>
      <c r="E80" s="15">
        <f t="shared" si="2"/>
        <v>45302</v>
      </c>
      <c r="F80" s="96">
        <f t="shared" si="3"/>
        <v>1.3197</v>
      </c>
      <c r="H80" s="122"/>
      <c r="I80" s="122"/>
    </row>
    <row r="81" spans="1:9" ht="30" customHeight="1">
      <c r="A81" s="66" t="s">
        <v>125</v>
      </c>
      <c r="B81" s="71" t="s">
        <v>126</v>
      </c>
      <c r="C81" s="15">
        <v>0</v>
      </c>
      <c r="D81" s="15">
        <f>C81+21484</f>
        <v>21484</v>
      </c>
      <c r="E81" s="15">
        <f t="shared" si="2"/>
        <v>21484</v>
      </c>
      <c r="F81" s="96" t="str">
        <f t="shared" si="3"/>
        <v>-</v>
      </c>
      <c r="H81" s="122"/>
      <c r="I81" s="122"/>
    </row>
    <row r="82" spans="1:92" s="14" customFormat="1" ht="39.75" customHeight="1">
      <c r="A82" s="81" t="s">
        <v>194</v>
      </c>
      <c r="B82" s="82" t="s">
        <v>155</v>
      </c>
      <c r="C82" s="13">
        <v>118521</v>
      </c>
      <c r="D82" s="13">
        <f>CENTRALA!D56+'Razem OW'!D56</f>
        <v>148923</v>
      </c>
      <c r="E82" s="13">
        <f t="shared" si="2"/>
        <v>30402</v>
      </c>
      <c r="F82" s="95">
        <f t="shared" si="3"/>
        <v>1.2565</v>
      </c>
      <c r="G82" s="19"/>
      <c r="H82" s="122"/>
      <c r="I82" s="122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</row>
    <row r="83" spans="1:92" s="14" customFormat="1" ht="64.5" customHeight="1">
      <c r="A83" s="81" t="s">
        <v>195</v>
      </c>
      <c r="B83" s="82" t="s">
        <v>136</v>
      </c>
      <c r="C83" s="13">
        <f>C49-C50+C71-C74+C79-C82</f>
        <v>-1668999</v>
      </c>
      <c r="D83" s="13">
        <f>D49-D50+D71-D74+D79-D82</f>
        <v>-1668999</v>
      </c>
      <c r="E83" s="13" t="str">
        <f t="shared" si="2"/>
        <v>-</v>
      </c>
      <c r="F83" s="95">
        <f t="shared" si="3"/>
        <v>1</v>
      </c>
      <c r="G83" s="19"/>
      <c r="H83" s="122"/>
      <c r="I83" s="122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</row>
    <row r="84" spans="1:92" s="14" customFormat="1" ht="33" customHeight="1">
      <c r="A84" s="81" t="s">
        <v>196</v>
      </c>
      <c r="B84" s="82" t="s">
        <v>146</v>
      </c>
      <c r="C84" s="13">
        <f>C85-C86</f>
        <v>0</v>
      </c>
      <c r="D84" s="13">
        <f>D85-D86</f>
        <v>0</v>
      </c>
      <c r="E84" s="13" t="str">
        <f t="shared" si="2"/>
        <v>-</v>
      </c>
      <c r="F84" s="95" t="str">
        <f t="shared" si="3"/>
        <v>-</v>
      </c>
      <c r="G84" s="19"/>
      <c r="H84" s="122"/>
      <c r="I84" s="122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</row>
    <row r="85" spans="1:9" ht="30" customHeight="1">
      <c r="A85" s="66" t="s">
        <v>128</v>
      </c>
      <c r="B85" s="67" t="s">
        <v>129</v>
      </c>
      <c r="C85" s="15">
        <v>0</v>
      </c>
      <c r="D85" s="15">
        <f>C85</f>
        <v>0</v>
      </c>
      <c r="E85" s="15" t="str">
        <f t="shared" si="2"/>
        <v>-</v>
      </c>
      <c r="F85" s="96" t="str">
        <f t="shared" si="3"/>
        <v>-</v>
      </c>
      <c r="H85" s="122"/>
      <c r="I85" s="122"/>
    </row>
    <row r="86" spans="1:9" ht="30" customHeight="1">
      <c r="A86" s="66" t="s">
        <v>130</v>
      </c>
      <c r="B86" s="67" t="s">
        <v>131</v>
      </c>
      <c r="C86" s="15">
        <v>0</v>
      </c>
      <c r="D86" s="15">
        <f>C86</f>
        <v>0</v>
      </c>
      <c r="E86" s="15" t="str">
        <f t="shared" si="2"/>
        <v>-</v>
      </c>
      <c r="F86" s="96" t="str">
        <f t="shared" si="3"/>
        <v>-</v>
      </c>
      <c r="H86" s="122"/>
      <c r="I86" s="122"/>
    </row>
    <row r="87" spans="1:9" s="19" customFormat="1" ht="33" customHeight="1">
      <c r="A87" s="81" t="s">
        <v>197</v>
      </c>
      <c r="B87" s="83" t="s">
        <v>147</v>
      </c>
      <c r="C87" s="85">
        <f>C83+C84</f>
        <v>-1668999</v>
      </c>
      <c r="D87" s="85">
        <f>D83+D84</f>
        <v>-1668999</v>
      </c>
      <c r="E87" s="85" t="str">
        <f t="shared" si="2"/>
        <v>-</v>
      </c>
      <c r="F87" s="99">
        <f t="shared" si="3"/>
        <v>1</v>
      </c>
      <c r="H87" s="122"/>
      <c r="I87" s="122"/>
    </row>
    <row r="88" spans="1:9" s="19" customFormat="1" ht="69" customHeight="1">
      <c r="A88" s="81" t="s">
        <v>198</v>
      </c>
      <c r="B88" s="83" t="s">
        <v>132</v>
      </c>
      <c r="C88" s="85">
        <v>0</v>
      </c>
      <c r="D88" s="85">
        <v>0</v>
      </c>
      <c r="E88" s="85" t="str">
        <f t="shared" si="2"/>
        <v>-</v>
      </c>
      <c r="F88" s="99" t="str">
        <f t="shared" si="3"/>
        <v>-</v>
      </c>
      <c r="H88" s="122"/>
      <c r="I88" s="122"/>
    </row>
    <row r="89" spans="1:9" s="19" customFormat="1" ht="33" customHeight="1">
      <c r="A89" s="81" t="s">
        <v>199</v>
      </c>
      <c r="B89" s="83" t="s">
        <v>156</v>
      </c>
      <c r="C89" s="85">
        <f>C87-C88</f>
        <v>-1668999</v>
      </c>
      <c r="D89" s="85">
        <f>D87-D88</f>
        <v>-1668999</v>
      </c>
      <c r="E89" s="85" t="str">
        <f t="shared" si="2"/>
        <v>-</v>
      </c>
      <c r="F89" s="99">
        <f t="shared" si="3"/>
        <v>1</v>
      </c>
      <c r="H89" s="122"/>
      <c r="I89" s="122"/>
    </row>
    <row r="90" spans="1:9" s="19" customFormat="1" ht="33" customHeight="1">
      <c r="A90" s="64" t="s">
        <v>200</v>
      </c>
      <c r="B90" s="84" t="s">
        <v>133</v>
      </c>
      <c r="C90" s="85">
        <f>C7+C13+C20+C21+C22+C23+C71+C79</f>
        <v>56746782</v>
      </c>
      <c r="D90" s="85">
        <f>D7+D13+D20+D21+D22+D23+D71+D79</f>
        <v>56694427</v>
      </c>
      <c r="E90" s="85">
        <f t="shared" si="2"/>
        <v>-52355</v>
      </c>
      <c r="F90" s="99">
        <f t="shared" si="3"/>
        <v>0.9991</v>
      </c>
      <c r="H90" s="122"/>
      <c r="I90" s="122"/>
    </row>
    <row r="91" spans="1:9" s="19" customFormat="1" ht="33" customHeight="1">
      <c r="A91" s="81" t="s">
        <v>201</v>
      </c>
      <c r="B91" s="83" t="s">
        <v>134</v>
      </c>
      <c r="C91" s="85">
        <f>C10+C16+C25+C26+C47+C48+C50+C74+C82</f>
        <v>58415781</v>
      </c>
      <c r="D91" s="85">
        <f>D10+D16+D25+D26+D47+D48+D50+D74+D82</f>
        <v>58363426</v>
      </c>
      <c r="E91" s="85">
        <f t="shared" si="2"/>
        <v>-52355</v>
      </c>
      <c r="F91" s="99">
        <f t="shared" si="3"/>
        <v>0.9991</v>
      </c>
      <c r="H91" s="122"/>
      <c r="I91" s="122"/>
    </row>
    <row r="92" spans="1:3" ht="26.25">
      <c r="A92" s="20"/>
      <c r="B92" s="21"/>
      <c r="C92" s="22"/>
    </row>
    <row r="93" spans="1:3" ht="25.5">
      <c r="A93" s="24"/>
      <c r="B93" s="21"/>
      <c r="C93" s="25"/>
    </row>
    <row r="94" spans="1:3" ht="25.5">
      <c r="A94" s="20"/>
      <c r="B94" s="21"/>
      <c r="C94" s="25"/>
    </row>
    <row r="95" spans="1:3" ht="25.5">
      <c r="A95" s="20"/>
      <c r="B95" s="21"/>
      <c r="C95" s="25"/>
    </row>
    <row r="96" spans="1:3" ht="25.5">
      <c r="A96" s="20"/>
      <c r="B96" s="21"/>
      <c r="C96" s="26"/>
    </row>
    <row r="97" spans="1:3" ht="26.25">
      <c r="A97" s="20"/>
      <c r="B97" s="21"/>
      <c r="C97" s="27"/>
    </row>
    <row r="98" spans="1:3" ht="26.25">
      <c r="A98" s="20"/>
      <c r="B98" s="21"/>
      <c r="C98" s="23"/>
    </row>
    <row r="99" spans="1:3" ht="26.25">
      <c r="A99" s="20"/>
      <c r="B99" s="21"/>
      <c r="C99" s="23"/>
    </row>
    <row r="100" spans="1:3" ht="26.25">
      <c r="A100" s="20"/>
      <c r="B100" s="21"/>
      <c r="C100" s="23"/>
    </row>
    <row r="101" spans="1:3" ht="26.25">
      <c r="A101" s="20"/>
      <c r="B101" s="21"/>
      <c r="C101" s="23"/>
    </row>
    <row r="102" spans="1:3" ht="26.25">
      <c r="A102" s="20"/>
      <c r="B102" s="21"/>
      <c r="C102" s="23"/>
    </row>
    <row r="103" spans="1:3" ht="26.25">
      <c r="A103" s="20"/>
      <c r="B103" s="21"/>
      <c r="C103" s="23"/>
    </row>
    <row r="104" spans="1:3" ht="26.25">
      <c r="A104" s="20"/>
      <c r="B104" s="21"/>
      <c r="C104" s="23"/>
    </row>
    <row r="105" ht="26.25">
      <c r="C105" s="23"/>
    </row>
    <row r="106" ht="26.25">
      <c r="C106" s="23"/>
    </row>
    <row r="107" ht="26.25">
      <c r="C107" s="23"/>
    </row>
    <row r="108" ht="26.25">
      <c r="C108" s="23"/>
    </row>
    <row r="109" ht="26.25">
      <c r="C109" s="23"/>
    </row>
    <row r="110" ht="26.25">
      <c r="C110" s="23"/>
    </row>
    <row r="111" ht="26.25">
      <c r="C111" s="23"/>
    </row>
    <row r="112" ht="26.25">
      <c r="C112" s="23"/>
    </row>
    <row r="113" ht="26.25">
      <c r="C113" s="23"/>
    </row>
    <row r="114" ht="26.25">
      <c r="C114" s="23"/>
    </row>
    <row r="115" ht="26.25">
      <c r="C115" s="23"/>
    </row>
    <row r="116" ht="26.25">
      <c r="C116" s="23"/>
    </row>
    <row r="117" ht="26.25">
      <c r="C117" s="23"/>
    </row>
    <row r="118" ht="26.25">
      <c r="C118" s="23"/>
    </row>
    <row r="119" ht="26.25">
      <c r="C119" s="23"/>
    </row>
    <row r="120" ht="26.25">
      <c r="C120" s="23"/>
    </row>
    <row r="121" ht="26.25">
      <c r="C121" s="23"/>
    </row>
  </sheetData>
  <sheetProtection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2" r:id="rId1"/>
  <headerFooter alignWithMargins="0">
    <oddFooter>&amp;R&amp;20&amp;P</oddFooter>
  </headerFooter>
  <rowBreaks count="1" manualBreakCount="1">
    <brk id="4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47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77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8498473</v>
      </c>
      <c r="D7" s="16">
        <f>D8+D9+D10+D12+D13+D14+D15+D16+D17+D18+D19+D20+D21+D22+D24+D25+D26+D27</f>
        <v>8498473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983408</v>
      </c>
      <c r="D8" s="36">
        <f aca="true" t="shared" si="0" ref="D8:D28">C8</f>
        <v>983408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681123</v>
      </c>
      <c r="D9" s="36">
        <f t="shared" si="0"/>
        <v>681123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4200242</v>
      </c>
      <c r="D10" s="36">
        <f t="shared" si="0"/>
        <v>4200242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259475</v>
      </c>
      <c r="D11" s="36">
        <f t="shared" si="0"/>
        <v>259475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337598</v>
      </c>
      <c r="D12" s="36">
        <f t="shared" si="0"/>
        <v>337598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355165</v>
      </c>
      <c r="D13" s="36">
        <f t="shared" si="0"/>
        <v>355165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106755</v>
      </c>
      <c r="D14" s="36">
        <f t="shared" si="0"/>
        <v>106755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38100</v>
      </c>
      <c r="D15" s="36">
        <f t="shared" si="0"/>
        <v>38100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223154</v>
      </c>
      <c r="D16" s="36">
        <f t="shared" si="0"/>
        <v>223154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101731</v>
      </c>
      <c r="D17" s="36">
        <f t="shared" si="0"/>
        <v>101731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5439</v>
      </c>
      <c r="D18" s="36">
        <f t="shared" si="0"/>
        <v>5439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15267</v>
      </c>
      <c r="D19" s="36">
        <f t="shared" si="0"/>
        <v>15267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201452</v>
      </c>
      <c r="D20" s="36">
        <f t="shared" si="0"/>
        <v>201452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74530</v>
      </c>
      <c r="D21" s="36">
        <f t="shared" si="0"/>
        <v>74530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1159509</v>
      </c>
      <c r="D22" s="36">
        <f t="shared" si="0"/>
        <v>1159509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4242</v>
      </c>
      <c r="D23" s="36">
        <f t="shared" si="0"/>
        <v>4242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15000</v>
      </c>
      <c r="D27" s="36">
        <f t="shared" si="0"/>
        <v>15000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0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218216</v>
      </c>
      <c r="D29" s="36">
        <f>C29</f>
        <v>218216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63366</v>
      </c>
      <c r="D30" s="34">
        <f>D31+D32+D33+D41+D42+D48+D49+D50+D47</f>
        <v>63366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2228</v>
      </c>
      <c r="D31" s="35">
        <f>C31</f>
        <v>2228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10841</v>
      </c>
      <c r="D32" s="35">
        <f>C32</f>
        <v>10841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393</v>
      </c>
      <c r="D33" s="35">
        <f>D34+D36+D37+D38+D39+D40</f>
        <v>393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24</v>
      </c>
      <c r="D34" s="35">
        <f>C34</f>
        <v>24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24</v>
      </c>
      <c r="D35" s="35">
        <f aca="true" t="shared" si="4" ref="D35:D47">C35</f>
        <v>24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36</v>
      </c>
      <c r="D36" s="35">
        <f t="shared" si="4"/>
        <v>36</v>
      </c>
      <c r="E36" s="89" t="str">
        <f t="shared" si="3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309</v>
      </c>
      <c r="D39" s="35">
        <f t="shared" si="4"/>
        <v>309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24</v>
      </c>
      <c r="D40" s="35">
        <f t="shared" si="4"/>
        <v>24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38055</v>
      </c>
      <c r="D41" s="35">
        <f t="shared" si="4"/>
        <v>38055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7656</v>
      </c>
      <c r="D42" s="35">
        <f>SUM(D43:D46)</f>
        <v>7656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5781</v>
      </c>
      <c r="D43" s="35">
        <f>C43</f>
        <v>5781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932</v>
      </c>
      <c r="D44" s="35">
        <f>C44</f>
        <v>932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943</v>
      </c>
      <c r="D46" s="35">
        <f>C46</f>
        <v>943</v>
      </c>
      <c r="E46" s="89" t="str">
        <f t="shared" si="3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3848</v>
      </c>
      <c r="D48" s="35">
        <f>C48</f>
        <v>3848</v>
      </c>
      <c r="E48" s="89" t="str">
        <f t="shared" si="3"/>
        <v>-</v>
      </c>
      <c r="F48" s="92">
        <f t="shared" si="5"/>
        <v>1</v>
      </c>
    </row>
    <row r="49" spans="1:6" ht="43.5" customHeight="1">
      <c r="A49" s="42" t="s">
        <v>30</v>
      </c>
      <c r="B49" s="51" t="s">
        <v>31</v>
      </c>
      <c r="C49" s="36">
        <v>91</v>
      </c>
      <c r="D49" s="35">
        <f>C49</f>
        <v>91</v>
      </c>
      <c r="E49" s="89" t="str">
        <f t="shared" si="3"/>
        <v>-</v>
      </c>
      <c r="F49" s="92">
        <f t="shared" si="5"/>
        <v>1</v>
      </c>
    </row>
    <row r="50" spans="1:6" ht="35.25" customHeight="1">
      <c r="A50" s="42" t="s">
        <v>32</v>
      </c>
      <c r="B50" s="51" t="s">
        <v>33</v>
      </c>
      <c r="C50" s="35">
        <v>254</v>
      </c>
      <c r="D50" s="35">
        <f>C50</f>
        <v>254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176</v>
      </c>
      <c r="C51" s="38">
        <v>37504</v>
      </c>
      <c r="D51" s="38">
        <f>SUM(D52:D55)</f>
        <v>53193</v>
      </c>
      <c r="E51" s="13">
        <f t="shared" si="3"/>
        <v>15689</v>
      </c>
      <c r="F51" s="93">
        <f t="shared" si="5"/>
        <v>1.4183</v>
      </c>
    </row>
    <row r="52" spans="1:6" ht="42" customHeight="1">
      <c r="A52" s="42" t="s">
        <v>119</v>
      </c>
      <c r="B52" s="51" t="s">
        <v>144</v>
      </c>
      <c r="C52" s="35">
        <v>1609</v>
      </c>
      <c r="D52" s="35">
        <f>C52-1594</f>
        <v>15</v>
      </c>
      <c r="E52" s="94">
        <f>IF(C52=D52,"-",D52-C52)</f>
        <v>-1594</v>
      </c>
      <c r="F52" s="100">
        <f t="shared" si="5"/>
        <v>0.0093</v>
      </c>
    </row>
    <row r="53" spans="1:6" ht="31.5" customHeight="1">
      <c r="A53" s="42" t="s">
        <v>35</v>
      </c>
      <c r="B53" s="51" t="s">
        <v>63</v>
      </c>
      <c r="C53" s="35">
        <v>33895</v>
      </c>
      <c r="D53" s="35">
        <f>C53+29947-12664</f>
        <v>51178</v>
      </c>
      <c r="E53" s="94">
        <f>IF(C53=D53,"-",D53-C53)</f>
        <v>17283</v>
      </c>
      <c r="F53" s="100">
        <f t="shared" si="5"/>
        <v>1.5099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1.5" customHeight="1">
      <c r="A55" s="42" t="s">
        <v>120</v>
      </c>
      <c r="B55" s="51" t="s">
        <v>122</v>
      </c>
      <c r="C55" s="35">
        <v>2000</v>
      </c>
      <c r="D55" s="35">
        <f>C55</f>
        <v>2000</v>
      </c>
      <c r="E55" s="94" t="str">
        <f>IF(C55=D55,"-",D55-C55)</f>
        <v>-</v>
      </c>
      <c r="F55" s="100">
        <f t="shared" si="5"/>
        <v>1</v>
      </c>
    </row>
    <row r="56" spans="1:6" ht="32.25" customHeight="1">
      <c r="A56" s="44" t="s">
        <v>127</v>
      </c>
      <c r="B56" s="56" t="s">
        <v>155</v>
      </c>
      <c r="C56" s="38">
        <v>10500</v>
      </c>
      <c r="D56" s="38">
        <f>C56+33833-7769</f>
        <v>36564</v>
      </c>
      <c r="E56" s="13">
        <f>IF(C56=D56,"-",D56-C56)</f>
        <v>26064</v>
      </c>
      <c r="F56" s="93">
        <f>IF(C56=0,"-",D56/C56)</f>
        <v>3.4823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4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78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1380065</v>
      </c>
      <c r="D7" s="16">
        <f>D8+D9+D10+D12+D13+D14+D15+D16+D17+D18+D19+D20+D21+D22+D24+D25+D26+D27</f>
        <v>1380065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179571</v>
      </c>
      <c r="D8" s="36">
        <f aca="true" t="shared" si="0" ref="D8:D26">C8</f>
        <v>179571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106884</v>
      </c>
      <c r="D9" s="36">
        <f t="shared" si="0"/>
        <v>106884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645732</v>
      </c>
      <c r="D10" s="36">
        <f t="shared" si="0"/>
        <v>645732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33500</v>
      </c>
      <c r="D11" s="36">
        <f t="shared" si="0"/>
        <v>33500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51681</v>
      </c>
      <c r="D12" s="36">
        <f t="shared" si="0"/>
        <v>51681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49389</v>
      </c>
      <c r="D13" s="36">
        <f t="shared" si="0"/>
        <v>49389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29677</v>
      </c>
      <c r="D14" s="36">
        <f t="shared" si="0"/>
        <v>29677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7970</v>
      </c>
      <c r="D15" s="36">
        <f t="shared" si="0"/>
        <v>7970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46414</v>
      </c>
      <c r="D16" s="36">
        <f t="shared" si="0"/>
        <v>46414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16030</v>
      </c>
      <c r="D17" s="36">
        <f t="shared" si="0"/>
        <v>16030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1300</v>
      </c>
      <c r="D18" s="36">
        <f t="shared" si="0"/>
        <v>1300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4075</v>
      </c>
      <c r="D19" s="36">
        <f t="shared" si="0"/>
        <v>4075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33529</v>
      </c>
      <c r="D20" s="36">
        <f t="shared" si="0"/>
        <v>33529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17500</v>
      </c>
      <c r="D21" s="36">
        <f t="shared" si="0"/>
        <v>17500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189513</v>
      </c>
      <c r="D22" s="36">
        <f t="shared" si="0"/>
        <v>189513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800</v>
      </c>
      <c r="D23" s="36">
        <f t="shared" si="0"/>
        <v>800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800</v>
      </c>
      <c r="D27" s="36">
        <f>C27</f>
        <v>800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49146</v>
      </c>
      <c r="D29" s="36">
        <f>C29</f>
        <v>49146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15426</v>
      </c>
      <c r="D30" s="34">
        <f>D31+D32+D33+D41+D42+D48+D49+D50+D47</f>
        <v>15426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724</v>
      </c>
      <c r="D31" s="35">
        <f>C31</f>
        <v>724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1332</v>
      </c>
      <c r="D32" s="35">
        <f>C32</f>
        <v>1332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103</v>
      </c>
      <c r="D33" s="35">
        <f>D34+D36+D37+D38+D39+D40</f>
        <v>103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0</v>
      </c>
      <c r="D34" s="35">
        <f aca="true" t="shared" si="4" ref="D34:D41">C34</f>
        <v>0</v>
      </c>
      <c r="E34" s="89" t="str">
        <f t="shared" si="3"/>
        <v>-</v>
      </c>
      <c r="F34" s="90" t="str">
        <f t="shared" si="2"/>
        <v>-</v>
      </c>
    </row>
    <row r="35" spans="1:6" ht="28.5" customHeight="1">
      <c r="A35" s="53" t="s">
        <v>46</v>
      </c>
      <c r="B35" s="55" t="s">
        <v>39</v>
      </c>
      <c r="C35" s="35">
        <v>0</v>
      </c>
      <c r="D35" s="35">
        <f t="shared" si="4"/>
        <v>0</v>
      </c>
      <c r="E35" s="89" t="str">
        <f t="shared" si="3"/>
        <v>-</v>
      </c>
      <c r="F35" s="90" t="str">
        <f t="shared" si="2"/>
        <v>-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101</v>
      </c>
      <c r="D39" s="35">
        <f t="shared" si="4"/>
        <v>101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2</v>
      </c>
      <c r="D40" s="35">
        <f t="shared" si="4"/>
        <v>2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7853</v>
      </c>
      <c r="D41" s="35">
        <f t="shared" si="4"/>
        <v>7853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1569</v>
      </c>
      <c r="D42" s="35">
        <f>SUM(D43:D46)</f>
        <v>1569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1193</v>
      </c>
      <c r="D43" s="35">
        <f aca="true" t="shared" si="5" ref="D43:D50">C43</f>
        <v>1193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192</v>
      </c>
      <c r="D44" s="35">
        <f t="shared" si="5"/>
        <v>192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184</v>
      </c>
      <c r="D46" s="35">
        <f t="shared" si="5"/>
        <v>184</v>
      </c>
      <c r="E46" s="89" t="str">
        <f t="shared" si="3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3"/>
        <v>-</v>
      </c>
      <c r="F47" s="90" t="str">
        <f aca="true" t="shared" si="6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3435</v>
      </c>
      <c r="D48" s="35">
        <f t="shared" si="5"/>
        <v>3435</v>
      </c>
      <c r="E48" s="89" t="str">
        <f t="shared" si="3"/>
        <v>-</v>
      </c>
      <c r="F48" s="92">
        <f t="shared" si="6"/>
        <v>1</v>
      </c>
    </row>
    <row r="49" spans="1:6" ht="43.5" customHeight="1">
      <c r="A49" s="42" t="s">
        <v>30</v>
      </c>
      <c r="B49" s="51" t="s">
        <v>31</v>
      </c>
      <c r="C49" s="36">
        <v>233</v>
      </c>
      <c r="D49" s="35">
        <f t="shared" si="5"/>
        <v>233</v>
      </c>
      <c r="E49" s="89" t="str">
        <f t="shared" si="3"/>
        <v>-</v>
      </c>
      <c r="F49" s="92">
        <f t="shared" si="6"/>
        <v>1</v>
      </c>
    </row>
    <row r="50" spans="1:6" ht="35.25" customHeight="1">
      <c r="A50" s="42" t="s">
        <v>32</v>
      </c>
      <c r="B50" s="51" t="s">
        <v>33</v>
      </c>
      <c r="C50" s="35">
        <v>177</v>
      </c>
      <c r="D50" s="35">
        <f t="shared" si="5"/>
        <v>177</v>
      </c>
      <c r="E50" s="89" t="str">
        <f t="shared" si="3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176</v>
      </c>
      <c r="C51" s="38">
        <v>6754</v>
      </c>
      <c r="D51" s="38">
        <f>SUM(D52:D55)</f>
        <v>1905</v>
      </c>
      <c r="E51" s="13">
        <f t="shared" si="3"/>
        <v>-4849</v>
      </c>
      <c r="F51" s="93">
        <f t="shared" si="6"/>
        <v>0.2821</v>
      </c>
    </row>
    <row r="52" spans="1:6" ht="42" customHeight="1">
      <c r="A52" s="42" t="s">
        <v>119</v>
      </c>
      <c r="B52" s="51" t="s">
        <v>144</v>
      </c>
      <c r="C52" s="35">
        <v>1632</v>
      </c>
      <c r="D52" s="35">
        <f>C52+62</f>
        <v>1694</v>
      </c>
      <c r="E52" s="94">
        <f>IF(C52=D52,"-",D52-C52)</f>
        <v>62</v>
      </c>
      <c r="F52" s="100">
        <f t="shared" si="6"/>
        <v>1.038</v>
      </c>
    </row>
    <row r="53" spans="1:6" ht="31.5" customHeight="1">
      <c r="A53" s="42" t="s">
        <v>35</v>
      </c>
      <c r="B53" s="51" t="s">
        <v>63</v>
      </c>
      <c r="C53" s="35">
        <v>5022</v>
      </c>
      <c r="D53" s="35">
        <f>C53-4820</f>
        <v>202</v>
      </c>
      <c r="E53" s="94">
        <f>IF(C53=D53,"-",D53-C53)</f>
        <v>-4820</v>
      </c>
      <c r="F53" s="100">
        <f t="shared" si="6"/>
        <v>0.0402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1.5" customHeight="1">
      <c r="A55" s="42" t="s">
        <v>120</v>
      </c>
      <c r="B55" s="51" t="s">
        <v>122</v>
      </c>
      <c r="C55" s="35">
        <v>100</v>
      </c>
      <c r="D55" s="35">
        <f>C55-91</f>
        <v>9</v>
      </c>
      <c r="E55" s="94">
        <f>IF(C55=D55,"-",D55-C55)</f>
        <v>-91</v>
      </c>
      <c r="F55" s="100">
        <f t="shared" si="6"/>
        <v>0.09</v>
      </c>
    </row>
    <row r="56" spans="1:6" ht="32.25" customHeight="1">
      <c r="A56" s="44" t="s">
        <v>127</v>
      </c>
      <c r="B56" s="56" t="s">
        <v>155</v>
      </c>
      <c r="C56" s="38">
        <v>1</v>
      </c>
      <c r="D56" s="38">
        <f>C56</f>
        <v>1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4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79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2692525</v>
      </c>
      <c r="D7" s="16">
        <f>D8+D9+D10+D12+D13+D14+D15+D16+D17+D18+D19+D20+D21+D22+D24+D25+D26+D27</f>
        <v>2692525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379389</v>
      </c>
      <c r="D8" s="36">
        <f aca="true" t="shared" si="0" ref="D8:D13">C8</f>
        <v>379389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189603</v>
      </c>
      <c r="D9" s="36">
        <f t="shared" si="0"/>
        <v>189603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1251861</v>
      </c>
      <c r="D10" s="36">
        <f t="shared" si="0"/>
        <v>1251861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56441</v>
      </c>
      <c r="D11" s="36">
        <f t="shared" si="0"/>
        <v>56441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86472</v>
      </c>
      <c r="D12" s="36">
        <f t="shared" si="0"/>
        <v>86472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108694</v>
      </c>
      <c r="D13" s="36">
        <f t="shared" si="0"/>
        <v>108694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63800</v>
      </c>
      <c r="D14" s="36">
        <f aca="true" t="shared" si="3" ref="D14:D23">C14</f>
        <v>63800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13271</v>
      </c>
      <c r="D15" s="36">
        <f t="shared" si="3"/>
        <v>13271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99409</v>
      </c>
      <c r="D16" s="36">
        <f t="shared" si="3"/>
        <v>99409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29654</v>
      </c>
      <c r="D17" s="36">
        <f t="shared" si="3"/>
        <v>29654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2296</v>
      </c>
      <c r="D18" s="36">
        <f t="shared" si="3"/>
        <v>2296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5079</v>
      </c>
      <c r="D19" s="36">
        <f t="shared" si="3"/>
        <v>5079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62544</v>
      </c>
      <c r="D20" s="36">
        <f t="shared" si="3"/>
        <v>62544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33111</v>
      </c>
      <c r="D21" s="36">
        <f t="shared" si="3"/>
        <v>33111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367242</v>
      </c>
      <c r="D22" s="36">
        <f t="shared" si="3"/>
        <v>367242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1334</v>
      </c>
      <c r="D23" s="36">
        <f t="shared" si="3"/>
        <v>1334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aca="true" t="shared" si="4" ref="D24:D29">C24</f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4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4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100</v>
      </c>
      <c r="D27" s="36">
        <f t="shared" si="4"/>
        <v>100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4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99677</v>
      </c>
      <c r="D29" s="36">
        <f t="shared" si="4"/>
        <v>99677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22291</v>
      </c>
      <c r="D30" s="34">
        <f>D31+D32+D33+D41+D42+D48+D49+D50+D47</f>
        <v>22291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845</v>
      </c>
      <c r="D31" s="35">
        <f>C31</f>
        <v>845</v>
      </c>
      <c r="E31" s="89" t="str">
        <f aca="true" t="shared" si="5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2171</v>
      </c>
      <c r="D32" s="35">
        <f>C32</f>
        <v>2171</v>
      </c>
      <c r="E32" s="89" t="str">
        <f t="shared" si="5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101</v>
      </c>
      <c r="D33" s="35">
        <f>D34+D36+D37+D38+D39+D40</f>
        <v>101</v>
      </c>
      <c r="E33" s="89" t="str">
        <f t="shared" si="5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22</v>
      </c>
      <c r="D34" s="35">
        <f>C34</f>
        <v>22</v>
      </c>
      <c r="E34" s="89" t="str">
        <f t="shared" si="5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22</v>
      </c>
      <c r="D35" s="35">
        <f aca="true" t="shared" si="6" ref="D35:D47">C35</f>
        <v>22</v>
      </c>
      <c r="E35" s="89" t="str">
        <f t="shared" si="5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6"/>
        <v>0</v>
      </c>
      <c r="E36" s="89" t="str">
        <f t="shared" si="5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6"/>
        <v>0</v>
      </c>
      <c r="E37" s="89" t="str">
        <f t="shared" si="5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6"/>
        <v>0</v>
      </c>
      <c r="E38" s="89" t="str">
        <f t="shared" si="5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50</v>
      </c>
      <c r="D39" s="35">
        <f t="shared" si="6"/>
        <v>50</v>
      </c>
      <c r="E39" s="89" t="str">
        <f t="shared" si="5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29</v>
      </c>
      <c r="D40" s="35">
        <f t="shared" si="6"/>
        <v>29</v>
      </c>
      <c r="E40" s="89" t="str">
        <f t="shared" si="5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12449</v>
      </c>
      <c r="D41" s="35">
        <f t="shared" si="6"/>
        <v>12449</v>
      </c>
      <c r="E41" s="89" t="str">
        <f t="shared" si="5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2516</v>
      </c>
      <c r="D42" s="35">
        <f>SUM(D43:D46)</f>
        <v>2516</v>
      </c>
      <c r="E42" s="89" t="str">
        <f t="shared" si="5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1891</v>
      </c>
      <c r="D43" s="35">
        <f>C43</f>
        <v>1891</v>
      </c>
      <c r="E43" s="89" t="str">
        <f t="shared" si="5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305</v>
      </c>
      <c r="D44" s="35">
        <f>C44</f>
        <v>305</v>
      </c>
      <c r="E44" s="89" t="str">
        <f t="shared" si="5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6"/>
        <v>0</v>
      </c>
      <c r="E45" s="89" t="str">
        <f t="shared" si="5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320</v>
      </c>
      <c r="D46" s="35">
        <f>C46</f>
        <v>320</v>
      </c>
      <c r="E46" s="89" t="str">
        <f t="shared" si="5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6"/>
        <v>0</v>
      </c>
      <c r="E47" s="89" t="str">
        <f t="shared" si="5"/>
        <v>-</v>
      </c>
      <c r="F47" s="90" t="str">
        <f aca="true" t="shared" si="7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3520</v>
      </c>
      <c r="D48" s="35">
        <f>C48</f>
        <v>3520</v>
      </c>
      <c r="E48" s="89" t="str">
        <f t="shared" si="5"/>
        <v>-</v>
      </c>
      <c r="F48" s="92">
        <f t="shared" si="7"/>
        <v>1</v>
      </c>
    </row>
    <row r="49" spans="1:6" ht="43.5" customHeight="1">
      <c r="A49" s="42" t="s">
        <v>30</v>
      </c>
      <c r="B49" s="51" t="s">
        <v>31</v>
      </c>
      <c r="C49" s="36">
        <v>480</v>
      </c>
      <c r="D49" s="35">
        <f>C49</f>
        <v>480</v>
      </c>
      <c r="E49" s="89" t="str">
        <f t="shared" si="5"/>
        <v>-</v>
      </c>
      <c r="F49" s="92">
        <f t="shared" si="7"/>
        <v>1</v>
      </c>
    </row>
    <row r="50" spans="1:6" ht="35.25" customHeight="1">
      <c r="A50" s="42" t="s">
        <v>32</v>
      </c>
      <c r="B50" s="51" t="s">
        <v>33</v>
      </c>
      <c r="C50" s="35">
        <v>209</v>
      </c>
      <c r="D50" s="35">
        <f>C50</f>
        <v>209</v>
      </c>
      <c r="E50" s="89" t="str">
        <f t="shared" si="5"/>
        <v>-</v>
      </c>
      <c r="F50" s="90">
        <f t="shared" si="7"/>
        <v>1</v>
      </c>
    </row>
    <row r="51" spans="1:6" s="3" customFormat="1" ht="30" customHeight="1">
      <c r="A51" s="44" t="s">
        <v>34</v>
      </c>
      <c r="B51" s="56" t="s">
        <v>176</v>
      </c>
      <c r="C51" s="38">
        <v>10554</v>
      </c>
      <c r="D51" s="38">
        <f>SUM(D52:D55)</f>
        <v>8057</v>
      </c>
      <c r="E51" s="13">
        <f t="shared" si="5"/>
        <v>-2497</v>
      </c>
      <c r="F51" s="93">
        <f t="shared" si="7"/>
        <v>0.7634</v>
      </c>
    </row>
    <row r="52" spans="1:6" ht="42" customHeight="1">
      <c r="A52" s="42" t="s">
        <v>119</v>
      </c>
      <c r="B52" s="51" t="s">
        <v>144</v>
      </c>
      <c r="C52" s="35">
        <v>247</v>
      </c>
      <c r="D52" s="35">
        <f>C52-240</f>
        <v>7</v>
      </c>
      <c r="E52" s="94">
        <f>IF(C52=D52,"-",D52-C52)</f>
        <v>-240</v>
      </c>
      <c r="F52" s="100">
        <f t="shared" si="7"/>
        <v>0.0283</v>
      </c>
    </row>
    <row r="53" spans="1:6" ht="31.5" customHeight="1">
      <c r="A53" s="42" t="s">
        <v>35</v>
      </c>
      <c r="B53" s="51" t="s">
        <v>63</v>
      </c>
      <c r="C53" s="35">
        <v>10057</v>
      </c>
      <c r="D53" s="35">
        <f>C53-2257</f>
        <v>7800</v>
      </c>
      <c r="E53" s="94">
        <f>IF(C53=D53,"-",D53-C53)</f>
        <v>-2257</v>
      </c>
      <c r="F53" s="100">
        <f t="shared" si="7"/>
        <v>0.7756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7"/>
        <v>-</v>
      </c>
    </row>
    <row r="55" spans="1:6" ht="31.5" customHeight="1">
      <c r="A55" s="42" t="s">
        <v>120</v>
      </c>
      <c r="B55" s="51" t="s">
        <v>122</v>
      </c>
      <c r="C55" s="35">
        <v>250</v>
      </c>
      <c r="D55" s="35">
        <f>C55</f>
        <v>250</v>
      </c>
      <c r="E55" s="94" t="str">
        <f>IF(C55=D55,"-",D55-C55)</f>
        <v>-</v>
      </c>
      <c r="F55" s="100">
        <f t="shared" si="7"/>
        <v>1</v>
      </c>
    </row>
    <row r="56" spans="1:6" ht="32.25" customHeight="1">
      <c r="A56" s="44" t="s">
        <v>127</v>
      </c>
      <c r="B56" s="56" t="s">
        <v>155</v>
      </c>
      <c r="C56" s="38">
        <v>1888</v>
      </c>
      <c r="D56" s="38">
        <f>C56+412</f>
        <v>2300</v>
      </c>
      <c r="E56" s="13">
        <f>IF(C56=D56,"-",D56-C56)</f>
        <v>412</v>
      </c>
      <c r="F56" s="93">
        <f>IF(C56=0,"-",D56/C56)</f>
        <v>1.2182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47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80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1654862</v>
      </c>
      <c r="D7" s="16">
        <f>D8+D9+D10+D12+D13+D14+D15+D16+D17+D18+D19+D20+D21+D22+D24+D25+D26+D27</f>
        <v>1654862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234888</v>
      </c>
      <c r="D8" s="36">
        <f aca="true" t="shared" si="0" ref="D8:D20">C8</f>
        <v>234888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139596</v>
      </c>
      <c r="D9" s="36">
        <f t="shared" si="0"/>
        <v>139596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787209</v>
      </c>
      <c r="D10" s="36">
        <f t="shared" si="0"/>
        <v>787209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35500</v>
      </c>
      <c r="D11" s="36">
        <f t="shared" si="0"/>
        <v>35500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68790</v>
      </c>
      <c r="D12" s="36">
        <f t="shared" si="0"/>
        <v>68790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39796</v>
      </c>
      <c r="D13" s="36">
        <f t="shared" si="0"/>
        <v>39796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18995</v>
      </c>
      <c r="D14" s="36">
        <f t="shared" si="0"/>
        <v>18995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7829</v>
      </c>
      <c r="D15" s="36">
        <f t="shared" si="0"/>
        <v>7829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61796</v>
      </c>
      <c r="D16" s="36">
        <f t="shared" si="0"/>
        <v>61796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20500</v>
      </c>
      <c r="D17" s="36">
        <f t="shared" si="0"/>
        <v>20500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1200</v>
      </c>
      <c r="D18" s="36">
        <f t="shared" si="0"/>
        <v>1200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4852</v>
      </c>
      <c r="D19" s="36">
        <f t="shared" si="0"/>
        <v>4852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35051</v>
      </c>
      <c r="D20" s="36">
        <f t="shared" si="0"/>
        <v>35051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18000</v>
      </c>
      <c r="D21" s="36">
        <f aca="true" t="shared" si="3" ref="D21:D28">C21</f>
        <v>18000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216160</v>
      </c>
      <c r="D22" s="36">
        <f t="shared" si="3"/>
        <v>216160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1500</v>
      </c>
      <c r="D23" s="36">
        <f t="shared" si="3"/>
        <v>1500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200</v>
      </c>
      <c r="D27" s="36">
        <f>C27</f>
        <v>200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63855</v>
      </c>
      <c r="D29" s="36">
        <f>C29</f>
        <v>63855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13865</v>
      </c>
      <c r="D30" s="34">
        <f>D31+D32+D33+D41+D42+D48+D49+D50+D47</f>
        <v>13865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467</v>
      </c>
      <c r="D31" s="35">
        <f>C31</f>
        <v>467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975</v>
      </c>
      <c r="D32" s="35">
        <f>C32</f>
        <v>975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165</v>
      </c>
      <c r="D33" s="35">
        <f>D34+D36+D37+D38+D39+D40</f>
        <v>165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14</v>
      </c>
      <c r="D34" s="35">
        <f>C34</f>
        <v>14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14</v>
      </c>
      <c r="D35" s="35">
        <f aca="true" t="shared" si="5" ref="D35:D47">C35</f>
        <v>14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40</v>
      </c>
      <c r="D36" s="35">
        <f>C36</f>
        <v>40</v>
      </c>
      <c r="E36" s="89" t="str">
        <f t="shared" si="4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106</v>
      </c>
      <c r="D39" s="35">
        <f>C39</f>
        <v>106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5</v>
      </c>
      <c r="D40" s="35">
        <f t="shared" si="5"/>
        <v>5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8761</v>
      </c>
      <c r="D41" s="35">
        <f t="shared" si="5"/>
        <v>8761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1775</v>
      </c>
      <c r="D42" s="35">
        <f>SUM(D43:D46)</f>
        <v>1775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1306</v>
      </c>
      <c r="D43" s="35">
        <f>C43</f>
        <v>1306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215</v>
      </c>
      <c r="D44" s="35">
        <f>C44</f>
        <v>215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254</v>
      </c>
      <c r="D46" s="35">
        <f>C46</f>
        <v>254</v>
      </c>
      <c r="E46" s="89" t="str">
        <f t="shared" si="4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1270</v>
      </c>
      <c r="D48" s="35">
        <f>C48</f>
        <v>1270</v>
      </c>
      <c r="E48" s="89" t="str">
        <f t="shared" si="4"/>
        <v>-</v>
      </c>
      <c r="F48" s="92">
        <f t="shared" si="6"/>
        <v>1</v>
      </c>
    </row>
    <row r="49" spans="1:6" ht="43.5" customHeight="1">
      <c r="A49" s="42" t="s">
        <v>30</v>
      </c>
      <c r="B49" s="51" t="s">
        <v>31</v>
      </c>
      <c r="C49" s="36">
        <v>234</v>
      </c>
      <c r="D49" s="35">
        <f>C49</f>
        <v>234</v>
      </c>
      <c r="E49" s="89" t="str">
        <f t="shared" si="4"/>
        <v>-</v>
      </c>
      <c r="F49" s="92">
        <f t="shared" si="6"/>
        <v>1</v>
      </c>
    </row>
    <row r="50" spans="1:6" ht="35.25" customHeight="1">
      <c r="A50" s="42" t="s">
        <v>32</v>
      </c>
      <c r="B50" s="51" t="s">
        <v>33</v>
      </c>
      <c r="C50" s="35">
        <v>218</v>
      </c>
      <c r="D50" s="35">
        <f>C50</f>
        <v>218</v>
      </c>
      <c r="E50" s="89" t="str">
        <f t="shared" si="4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176</v>
      </c>
      <c r="C51" s="38">
        <v>7121</v>
      </c>
      <c r="D51" s="38">
        <f>SUM(D52:D55)</f>
        <v>1400</v>
      </c>
      <c r="E51" s="13">
        <f t="shared" si="4"/>
        <v>-5721</v>
      </c>
      <c r="F51" s="93">
        <f t="shared" si="6"/>
        <v>0.1966</v>
      </c>
    </row>
    <row r="52" spans="1:6" ht="42" customHeight="1">
      <c r="A52" s="42" t="s">
        <v>119</v>
      </c>
      <c r="B52" s="51" t="s">
        <v>144</v>
      </c>
      <c r="C52" s="35">
        <v>175</v>
      </c>
      <c r="D52" s="35">
        <f>C52-169</f>
        <v>6</v>
      </c>
      <c r="E52" s="94">
        <f>IF(C52=D52,"-",D52-C52)</f>
        <v>-169</v>
      </c>
      <c r="F52" s="100">
        <f t="shared" si="6"/>
        <v>0.0343</v>
      </c>
    </row>
    <row r="53" spans="1:6" ht="31.5" customHeight="1">
      <c r="A53" s="42" t="s">
        <v>35</v>
      </c>
      <c r="B53" s="51" t="s">
        <v>63</v>
      </c>
      <c r="C53" s="35">
        <v>6496</v>
      </c>
      <c r="D53" s="35">
        <f>C53-5712</f>
        <v>784</v>
      </c>
      <c r="E53" s="94">
        <f>IF(C53=D53,"-",D53-C53)</f>
        <v>-5712</v>
      </c>
      <c r="F53" s="100">
        <f t="shared" si="6"/>
        <v>0.1207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1.5" customHeight="1">
      <c r="A55" s="42" t="s">
        <v>120</v>
      </c>
      <c r="B55" s="51" t="s">
        <v>122</v>
      </c>
      <c r="C55" s="35">
        <v>450</v>
      </c>
      <c r="D55" s="35">
        <f>C55+160</f>
        <v>610</v>
      </c>
      <c r="E55" s="94">
        <f>IF(C55=D55,"-",D55-C55)</f>
        <v>160</v>
      </c>
      <c r="F55" s="100">
        <f t="shared" si="6"/>
        <v>1.3556</v>
      </c>
    </row>
    <row r="56" spans="1:6" ht="32.25" customHeight="1">
      <c r="A56" s="44" t="s">
        <v>127</v>
      </c>
      <c r="B56" s="56" t="s">
        <v>155</v>
      </c>
      <c r="C56" s="38">
        <v>48</v>
      </c>
      <c r="D56" s="38">
        <f>C56+7</f>
        <v>55</v>
      </c>
      <c r="E56" s="13">
        <f>IF(C56=D56,"-",D56-C56)</f>
        <v>7</v>
      </c>
      <c r="F56" s="93">
        <f>IF(C56=0,"-",D56/C56)</f>
        <v>1.1458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J91"/>
  <sheetViews>
    <sheetView showGridLines="0" tabSelected="1" zoomScale="55" zoomScaleNormal="55" zoomScaleSheetLayoutView="55" zoomScalePageLayoutView="0" workbookViewId="0" topLeftCell="A1">
      <pane xSplit="2" ySplit="7" topLeftCell="C44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81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140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</row>
    <row r="5" spans="1:140" s="6" customFormat="1" ht="33" customHeight="1">
      <c r="A5" s="208"/>
      <c r="B5" s="208"/>
      <c r="C5" s="205"/>
      <c r="D5" s="202"/>
      <c r="E5" s="203"/>
      <c r="F5" s="203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</row>
    <row r="6" spans="1:140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</row>
    <row r="7" spans="1:140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3264260</v>
      </c>
      <c r="D7" s="16">
        <f>D8+D9+D10+D12+D13+D14+D15+D16+D17+D18+D19+D20+D21+D22+D24+D25+D26+D27</f>
        <v>3264260</v>
      </c>
      <c r="E7" s="13" t="str">
        <f>IF(C7=D7,"-",D7-C7)</f>
        <v>-</v>
      </c>
      <c r="F7" s="88">
        <f>IF(C7=0,"-",D7/C7)</f>
        <v>1</v>
      </c>
      <c r="G7" s="2"/>
      <c r="H7" s="11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</row>
    <row r="8" spans="1:8" ht="31.5" customHeight="1">
      <c r="A8" s="40" t="s">
        <v>1</v>
      </c>
      <c r="B8" s="102" t="s">
        <v>167</v>
      </c>
      <c r="C8" s="36">
        <v>412161</v>
      </c>
      <c r="D8" s="36">
        <f aca="true" t="shared" si="0" ref="D8:D22">C8</f>
        <v>412161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16"/>
    </row>
    <row r="9" spans="1:8" ht="31.5" customHeight="1">
      <c r="A9" s="40" t="s">
        <v>2</v>
      </c>
      <c r="B9" s="102" t="s">
        <v>168</v>
      </c>
      <c r="C9" s="36">
        <v>282979</v>
      </c>
      <c r="D9" s="36">
        <f t="shared" si="0"/>
        <v>282979</v>
      </c>
      <c r="E9" s="89" t="str">
        <f t="shared" si="1"/>
        <v>-</v>
      </c>
      <c r="F9" s="90">
        <f t="shared" si="2"/>
        <v>1</v>
      </c>
      <c r="H9" s="116"/>
    </row>
    <row r="10" spans="1:8" ht="31.5" customHeight="1">
      <c r="A10" s="40" t="s">
        <v>3</v>
      </c>
      <c r="B10" s="102" t="s">
        <v>158</v>
      </c>
      <c r="C10" s="36">
        <v>1514876</v>
      </c>
      <c r="D10" s="36">
        <f t="shared" si="0"/>
        <v>1514876</v>
      </c>
      <c r="E10" s="89" t="str">
        <f t="shared" si="1"/>
        <v>-</v>
      </c>
      <c r="F10" s="90">
        <f t="shared" si="2"/>
        <v>1</v>
      </c>
      <c r="H10" s="116"/>
    </row>
    <row r="11" spans="1:8" ht="31.5" customHeight="1">
      <c r="A11" s="103" t="s">
        <v>64</v>
      </c>
      <c r="B11" s="45" t="s">
        <v>65</v>
      </c>
      <c r="C11" s="36">
        <v>61066</v>
      </c>
      <c r="D11" s="36">
        <f t="shared" si="0"/>
        <v>61066</v>
      </c>
      <c r="E11" s="89" t="str">
        <f t="shared" si="1"/>
        <v>-</v>
      </c>
      <c r="F11" s="90">
        <f t="shared" si="2"/>
        <v>1</v>
      </c>
      <c r="H11" s="116"/>
    </row>
    <row r="12" spans="1:8" ht="31.5" customHeight="1">
      <c r="A12" s="40" t="s">
        <v>4</v>
      </c>
      <c r="B12" s="102" t="s">
        <v>174</v>
      </c>
      <c r="C12" s="36">
        <v>121899</v>
      </c>
      <c r="D12" s="36">
        <f t="shared" si="0"/>
        <v>121899</v>
      </c>
      <c r="E12" s="89" t="str">
        <f t="shared" si="1"/>
        <v>-</v>
      </c>
      <c r="F12" s="90">
        <f t="shared" si="2"/>
        <v>1</v>
      </c>
      <c r="H12" s="116"/>
    </row>
    <row r="13" spans="1:8" ht="31.5" customHeight="1">
      <c r="A13" s="40" t="s">
        <v>5</v>
      </c>
      <c r="B13" s="102" t="s">
        <v>169</v>
      </c>
      <c r="C13" s="36">
        <v>87689</v>
      </c>
      <c r="D13" s="36">
        <f t="shared" si="0"/>
        <v>87689</v>
      </c>
      <c r="E13" s="89" t="str">
        <f t="shared" si="1"/>
        <v>-</v>
      </c>
      <c r="F13" s="90">
        <f t="shared" si="2"/>
        <v>1</v>
      </c>
      <c r="H13" s="116"/>
    </row>
    <row r="14" spans="1:8" ht="31.5" customHeight="1">
      <c r="A14" s="40" t="s">
        <v>6</v>
      </c>
      <c r="B14" s="102" t="s">
        <v>178</v>
      </c>
      <c r="C14" s="36">
        <v>30316</v>
      </c>
      <c r="D14" s="36">
        <f t="shared" si="0"/>
        <v>30316</v>
      </c>
      <c r="E14" s="89" t="str">
        <f t="shared" si="1"/>
        <v>-</v>
      </c>
      <c r="F14" s="90">
        <f t="shared" si="2"/>
        <v>1</v>
      </c>
      <c r="H14" s="116"/>
    </row>
    <row r="15" spans="1:8" ht="31.5" customHeight="1">
      <c r="A15" s="40" t="s">
        <v>7</v>
      </c>
      <c r="B15" s="102" t="s">
        <v>177</v>
      </c>
      <c r="C15" s="36">
        <v>15432</v>
      </c>
      <c r="D15" s="36">
        <f t="shared" si="0"/>
        <v>15432</v>
      </c>
      <c r="E15" s="89" t="str">
        <f>IF(C15=D15,"-",D15-C15)</f>
        <v>-</v>
      </c>
      <c r="F15" s="90">
        <f>IF(C15=0,"-",D15/C15)</f>
        <v>1</v>
      </c>
      <c r="H15" s="116"/>
    </row>
    <row r="16" spans="1:8" ht="31.5" customHeight="1">
      <c r="A16" s="40" t="s">
        <v>8</v>
      </c>
      <c r="B16" s="102" t="s">
        <v>170</v>
      </c>
      <c r="C16" s="36">
        <v>125727</v>
      </c>
      <c r="D16" s="36">
        <f t="shared" si="0"/>
        <v>125727</v>
      </c>
      <c r="E16" s="89" t="str">
        <f t="shared" si="1"/>
        <v>-</v>
      </c>
      <c r="F16" s="90">
        <f t="shared" si="2"/>
        <v>1</v>
      </c>
      <c r="H16" s="116"/>
    </row>
    <row r="17" spans="1:8" ht="31.5" customHeight="1">
      <c r="A17" s="40" t="s">
        <v>9</v>
      </c>
      <c r="B17" s="102" t="s">
        <v>171</v>
      </c>
      <c r="C17" s="36">
        <v>31141</v>
      </c>
      <c r="D17" s="36">
        <f t="shared" si="0"/>
        <v>31141</v>
      </c>
      <c r="E17" s="89" t="str">
        <f t="shared" si="1"/>
        <v>-</v>
      </c>
      <c r="F17" s="90">
        <f t="shared" si="2"/>
        <v>1</v>
      </c>
      <c r="H17" s="116"/>
    </row>
    <row r="18" spans="1:8" ht="31.5" customHeight="1">
      <c r="A18" s="40" t="s">
        <v>10</v>
      </c>
      <c r="B18" s="102" t="s">
        <v>179</v>
      </c>
      <c r="C18" s="36">
        <v>1459</v>
      </c>
      <c r="D18" s="36">
        <f t="shared" si="0"/>
        <v>1459</v>
      </c>
      <c r="E18" s="89" t="str">
        <f t="shared" si="1"/>
        <v>-</v>
      </c>
      <c r="F18" s="90">
        <f t="shared" si="2"/>
        <v>1</v>
      </c>
      <c r="H18" s="116"/>
    </row>
    <row r="19" spans="1:8" ht="46.5" customHeight="1">
      <c r="A19" s="40" t="s">
        <v>11</v>
      </c>
      <c r="B19" s="102" t="s">
        <v>172</v>
      </c>
      <c r="C19" s="36">
        <v>8501</v>
      </c>
      <c r="D19" s="36">
        <f t="shared" si="0"/>
        <v>8501</v>
      </c>
      <c r="E19" s="89" t="str">
        <f t="shared" si="1"/>
        <v>-</v>
      </c>
      <c r="F19" s="90">
        <f t="shared" si="2"/>
        <v>1</v>
      </c>
      <c r="H19" s="116"/>
    </row>
    <row r="20" spans="1:8" ht="31.5" customHeight="1">
      <c r="A20" s="40" t="s">
        <v>12</v>
      </c>
      <c r="B20" s="102" t="s">
        <v>173</v>
      </c>
      <c r="C20" s="36">
        <v>83165</v>
      </c>
      <c r="D20" s="36">
        <f t="shared" si="0"/>
        <v>83165</v>
      </c>
      <c r="E20" s="89" t="str">
        <f t="shared" si="1"/>
        <v>-</v>
      </c>
      <c r="F20" s="90">
        <f t="shared" si="2"/>
        <v>1</v>
      </c>
      <c r="H20" s="116"/>
    </row>
    <row r="21" spans="1:8" ht="31.5" customHeight="1">
      <c r="A21" s="40" t="s">
        <v>14</v>
      </c>
      <c r="B21" s="46" t="s">
        <v>13</v>
      </c>
      <c r="C21" s="36">
        <v>32880</v>
      </c>
      <c r="D21" s="36">
        <f t="shared" si="0"/>
        <v>32880</v>
      </c>
      <c r="E21" s="89" t="str">
        <f t="shared" si="1"/>
        <v>-</v>
      </c>
      <c r="F21" s="90">
        <f t="shared" si="2"/>
        <v>1</v>
      </c>
      <c r="H21" s="116"/>
    </row>
    <row r="22" spans="1:8" ht="31.5" customHeight="1">
      <c r="A22" s="41" t="s">
        <v>15</v>
      </c>
      <c r="B22" s="102" t="s">
        <v>175</v>
      </c>
      <c r="C22" s="36">
        <v>515730</v>
      </c>
      <c r="D22" s="36">
        <f t="shared" si="0"/>
        <v>515730</v>
      </c>
      <c r="E22" s="89" t="str">
        <f t="shared" si="1"/>
        <v>-</v>
      </c>
      <c r="F22" s="90">
        <f t="shared" si="2"/>
        <v>1</v>
      </c>
      <c r="H22" s="116"/>
    </row>
    <row r="23" spans="1:8" ht="31.5" customHeight="1">
      <c r="A23" s="39" t="s">
        <v>180</v>
      </c>
      <c r="B23" s="45" t="s">
        <v>66</v>
      </c>
      <c r="C23" s="36">
        <v>875</v>
      </c>
      <c r="D23" s="36">
        <f aca="true" t="shared" si="3" ref="D23:D28">C23</f>
        <v>875</v>
      </c>
      <c r="E23" s="89" t="str">
        <f t="shared" si="1"/>
        <v>-</v>
      </c>
      <c r="F23" s="90">
        <f t="shared" si="2"/>
        <v>1</v>
      </c>
      <c r="H23" s="116"/>
    </row>
    <row r="24" spans="1:8" ht="33" customHeight="1">
      <c r="A24" s="42" t="s">
        <v>16</v>
      </c>
      <c r="B24" s="47" t="s">
        <v>140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  <c r="H24" s="116"/>
    </row>
    <row r="25" spans="1:8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16"/>
    </row>
    <row r="26" spans="1:8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  <c r="H26" s="116"/>
    </row>
    <row r="27" spans="1:8" ht="33" customHeight="1">
      <c r="A27" s="42" t="s">
        <v>139</v>
      </c>
      <c r="B27" s="48" t="s">
        <v>142</v>
      </c>
      <c r="C27" s="36">
        <v>305</v>
      </c>
      <c r="D27" s="36">
        <f>C27</f>
        <v>305</v>
      </c>
      <c r="E27" s="89" t="str">
        <f>IF(C27=D27,"-",D27-C27)</f>
        <v>-</v>
      </c>
      <c r="F27" s="90">
        <f>IF(C27=0,"-",D27/C27)</f>
        <v>1</v>
      </c>
      <c r="H27" s="116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  <c r="H28" s="116"/>
    </row>
    <row r="29" spans="1:8" s="5" customFormat="1" ht="31.5" customHeight="1">
      <c r="A29" s="43" t="s">
        <v>67</v>
      </c>
      <c r="B29" s="49" t="s">
        <v>70</v>
      </c>
      <c r="C29" s="35">
        <v>96562</v>
      </c>
      <c r="D29" s="36">
        <f>C29</f>
        <v>96562</v>
      </c>
      <c r="E29" s="89" t="str">
        <f t="shared" si="1"/>
        <v>-</v>
      </c>
      <c r="F29" s="90">
        <f t="shared" si="2"/>
        <v>1</v>
      </c>
      <c r="H29" s="116"/>
    </row>
    <row r="30" spans="1:140" s="3" customFormat="1" ht="30" customHeight="1">
      <c r="A30" s="37" t="s">
        <v>17</v>
      </c>
      <c r="B30" s="57" t="s">
        <v>18</v>
      </c>
      <c r="C30" s="34">
        <f>C31+C32+C33+C41+C42+C48+C49+C50+C47</f>
        <v>28425</v>
      </c>
      <c r="D30" s="34">
        <f>D31+D32+D33+D41+D42+D48+D49+D50+D47</f>
        <v>28425</v>
      </c>
      <c r="E30" s="13" t="str">
        <f>IF(C30=D30,"-",D30-C30)</f>
        <v>-</v>
      </c>
      <c r="F30" s="91">
        <f t="shared" si="2"/>
        <v>1</v>
      </c>
      <c r="G30" s="2"/>
      <c r="H30" s="1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</row>
    <row r="31" spans="1:8" ht="28.5" customHeight="1">
      <c r="A31" s="42" t="s">
        <v>19</v>
      </c>
      <c r="B31" s="51" t="s">
        <v>20</v>
      </c>
      <c r="C31" s="35">
        <v>1367</v>
      </c>
      <c r="D31" s="35">
        <f>C31</f>
        <v>1367</v>
      </c>
      <c r="E31" s="89" t="str">
        <f aca="true" t="shared" si="4" ref="E31:E51">IF(C31=D31,"-",D31-C31)</f>
        <v>-</v>
      </c>
      <c r="F31" s="90">
        <f t="shared" si="2"/>
        <v>1</v>
      </c>
      <c r="H31" s="116"/>
    </row>
    <row r="32" spans="1:8" ht="28.5" customHeight="1">
      <c r="A32" s="42" t="s">
        <v>21</v>
      </c>
      <c r="B32" s="51" t="s">
        <v>22</v>
      </c>
      <c r="C32" s="35">
        <v>2901</v>
      </c>
      <c r="D32" s="35">
        <f>C32</f>
        <v>2901</v>
      </c>
      <c r="E32" s="89" t="str">
        <f t="shared" si="4"/>
        <v>-</v>
      </c>
      <c r="F32" s="90">
        <f t="shared" si="2"/>
        <v>1</v>
      </c>
      <c r="H32" s="116"/>
    </row>
    <row r="33" spans="1:8" ht="28.5" customHeight="1">
      <c r="A33" s="42" t="s">
        <v>23</v>
      </c>
      <c r="B33" s="52" t="s">
        <v>37</v>
      </c>
      <c r="C33" s="35">
        <f>C34+C36+C37+C38+C39+C40</f>
        <v>257</v>
      </c>
      <c r="D33" s="35">
        <f>D34+D36+D37+D38+D39+D40</f>
        <v>257</v>
      </c>
      <c r="E33" s="89" t="str">
        <f t="shared" si="4"/>
        <v>-</v>
      </c>
      <c r="F33" s="90">
        <f t="shared" si="2"/>
        <v>1</v>
      </c>
      <c r="H33" s="116"/>
    </row>
    <row r="34" spans="1:8" ht="28.5" customHeight="1">
      <c r="A34" s="53" t="s">
        <v>45</v>
      </c>
      <c r="B34" s="54" t="s">
        <v>38</v>
      </c>
      <c r="C34" s="35">
        <v>32</v>
      </c>
      <c r="D34" s="35">
        <f>C34</f>
        <v>32</v>
      </c>
      <c r="E34" s="89" t="str">
        <f t="shared" si="4"/>
        <v>-</v>
      </c>
      <c r="F34" s="90">
        <f t="shared" si="2"/>
        <v>1</v>
      </c>
      <c r="H34" s="116"/>
    </row>
    <row r="35" spans="1:8" ht="28.5" customHeight="1">
      <c r="A35" s="53" t="s">
        <v>46</v>
      </c>
      <c r="B35" s="55" t="s">
        <v>39</v>
      </c>
      <c r="C35" s="35">
        <v>32</v>
      </c>
      <c r="D35" s="35">
        <f aca="true" t="shared" si="5" ref="D35:D50">C35</f>
        <v>32</v>
      </c>
      <c r="E35" s="89" t="str">
        <f t="shared" si="4"/>
        <v>-</v>
      </c>
      <c r="F35" s="90">
        <f t="shared" si="2"/>
        <v>1</v>
      </c>
      <c r="H35" s="116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5"/>
        <v>0</v>
      </c>
      <c r="E36" s="89" t="str">
        <f t="shared" si="4"/>
        <v>-</v>
      </c>
      <c r="F36" s="90" t="str">
        <f t="shared" si="2"/>
        <v>-</v>
      </c>
      <c r="H36" s="116"/>
    </row>
    <row r="37" spans="1:8" ht="28.5" customHeight="1">
      <c r="A37" s="53" t="s">
        <v>48</v>
      </c>
      <c r="B37" s="54" t="s">
        <v>41</v>
      </c>
      <c r="C37" s="35">
        <v>6</v>
      </c>
      <c r="D37" s="35">
        <f t="shared" si="5"/>
        <v>6</v>
      </c>
      <c r="E37" s="89" t="str">
        <f t="shared" si="4"/>
        <v>-</v>
      </c>
      <c r="F37" s="90">
        <f t="shared" si="2"/>
        <v>1</v>
      </c>
      <c r="H37" s="116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  <c r="H38" s="116"/>
    </row>
    <row r="39" spans="1:8" ht="28.5" customHeight="1">
      <c r="A39" s="53" t="s">
        <v>50</v>
      </c>
      <c r="B39" s="54" t="s">
        <v>43</v>
      </c>
      <c r="C39" s="35">
        <v>209</v>
      </c>
      <c r="D39" s="35">
        <f t="shared" si="5"/>
        <v>209</v>
      </c>
      <c r="E39" s="89" t="str">
        <f t="shared" si="4"/>
        <v>-</v>
      </c>
      <c r="F39" s="90">
        <f t="shared" si="2"/>
        <v>1</v>
      </c>
      <c r="H39" s="116"/>
    </row>
    <row r="40" spans="1:8" ht="28.5" customHeight="1">
      <c r="A40" s="53" t="s">
        <v>51</v>
      </c>
      <c r="B40" s="54" t="s">
        <v>44</v>
      </c>
      <c r="C40" s="35">
        <v>10</v>
      </c>
      <c r="D40" s="35">
        <f t="shared" si="5"/>
        <v>10</v>
      </c>
      <c r="E40" s="89" t="str">
        <f t="shared" si="4"/>
        <v>-</v>
      </c>
      <c r="F40" s="90">
        <f t="shared" si="2"/>
        <v>1</v>
      </c>
      <c r="H40" s="116"/>
    </row>
    <row r="41" spans="1:8" ht="28.5" customHeight="1">
      <c r="A41" s="42" t="s">
        <v>24</v>
      </c>
      <c r="B41" s="51" t="s">
        <v>25</v>
      </c>
      <c r="C41" s="35">
        <v>17215</v>
      </c>
      <c r="D41" s="35">
        <f t="shared" si="5"/>
        <v>17215</v>
      </c>
      <c r="E41" s="89" t="str">
        <f t="shared" si="4"/>
        <v>-</v>
      </c>
      <c r="F41" s="90">
        <f t="shared" si="2"/>
        <v>1</v>
      </c>
      <c r="H41" s="116"/>
    </row>
    <row r="42" spans="1:8" ht="28.5" customHeight="1">
      <c r="A42" s="42" t="s">
        <v>26</v>
      </c>
      <c r="B42" s="52" t="s">
        <v>61</v>
      </c>
      <c r="C42" s="35">
        <f>SUM(C43:C46)</f>
        <v>3491</v>
      </c>
      <c r="D42" s="35">
        <f>SUM(D43:D46)</f>
        <v>3491</v>
      </c>
      <c r="E42" s="89" t="str">
        <f t="shared" si="4"/>
        <v>-</v>
      </c>
      <c r="F42" s="90">
        <f t="shared" si="2"/>
        <v>1</v>
      </c>
      <c r="H42" s="116"/>
    </row>
    <row r="43" spans="1:8" ht="28.5" customHeight="1">
      <c r="A43" s="53" t="s">
        <v>56</v>
      </c>
      <c r="B43" s="54" t="s">
        <v>52</v>
      </c>
      <c r="C43" s="35">
        <v>2615</v>
      </c>
      <c r="D43" s="35">
        <f>C43</f>
        <v>2615</v>
      </c>
      <c r="E43" s="89" t="str">
        <f t="shared" si="4"/>
        <v>-</v>
      </c>
      <c r="F43" s="90">
        <f t="shared" si="2"/>
        <v>1</v>
      </c>
      <c r="H43" s="116"/>
    </row>
    <row r="44" spans="1:8" ht="28.5" customHeight="1">
      <c r="A44" s="53" t="s">
        <v>57</v>
      </c>
      <c r="B44" s="54" t="s">
        <v>53</v>
      </c>
      <c r="C44" s="35">
        <v>422</v>
      </c>
      <c r="D44" s="35">
        <f>C44</f>
        <v>422</v>
      </c>
      <c r="E44" s="89" t="str">
        <f t="shared" si="4"/>
        <v>-</v>
      </c>
      <c r="F44" s="90">
        <f t="shared" si="2"/>
        <v>1</v>
      </c>
      <c r="H44" s="116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  <c r="H45" s="116"/>
    </row>
    <row r="46" spans="1:8" ht="28.5" customHeight="1">
      <c r="A46" s="53" t="s">
        <v>59</v>
      </c>
      <c r="B46" s="54" t="s">
        <v>55</v>
      </c>
      <c r="C46" s="35">
        <v>454</v>
      </c>
      <c r="D46" s="35">
        <f t="shared" si="5"/>
        <v>454</v>
      </c>
      <c r="E46" s="89" t="str">
        <f t="shared" si="4"/>
        <v>-</v>
      </c>
      <c r="F46" s="90">
        <f t="shared" si="2"/>
        <v>1</v>
      </c>
      <c r="H46" s="116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16"/>
    </row>
    <row r="48" spans="1:8" ht="48" customHeight="1">
      <c r="A48" s="42" t="s">
        <v>29</v>
      </c>
      <c r="B48" s="51" t="s">
        <v>116</v>
      </c>
      <c r="C48" s="36">
        <v>3045</v>
      </c>
      <c r="D48" s="35">
        <f t="shared" si="5"/>
        <v>3045</v>
      </c>
      <c r="E48" s="89" t="str">
        <f t="shared" si="4"/>
        <v>-</v>
      </c>
      <c r="F48" s="92">
        <f t="shared" si="6"/>
        <v>1</v>
      </c>
      <c r="H48" s="116"/>
    </row>
    <row r="49" spans="1:8" ht="43.5" customHeight="1">
      <c r="A49" s="42" t="s">
        <v>30</v>
      </c>
      <c r="B49" s="51" t="s">
        <v>31</v>
      </c>
      <c r="C49" s="36">
        <v>0</v>
      </c>
      <c r="D49" s="35">
        <f t="shared" si="5"/>
        <v>0</v>
      </c>
      <c r="E49" s="89" t="str">
        <f t="shared" si="4"/>
        <v>-</v>
      </c>
      <c r="F49" s="92" t="str">
        <f t="shared" si="6"/>
        <v>-</v>
      </c>
      <c r="H49" s="116"/>
    </row>
    <row r="50" spans="1:8" ht="35.25" customHeight="1">
      <c r="A50" s="42" t="s">
        <v>32</v>
      </c>
      <c r="B50" s="51" t="s">
        <v>33</v>
      </c>
      <c r="C50" s="35">
        <v>149</v>
      </c>
      <c r="D50" s="35">
        <f t="shared" si="5"/>
        <v>149</v>
      </c>
      <c r="E50" s="89" t="str">
        <f t="shared" si="4"/>
        <v>-</v>
      </c>
      <c r="F50" s="90">
        <f t="shared" si="6"/>
        <v>1</v>
      </c>
      <c r="H50" s="116"/>
    </row>
    <row r="51" spans="1:140" s="3" customFormat="1" ht="30" customHeight="1">
      <c r="A51" s="44" t="s">
        <v>34</v>
      </c>
      <c r="B51" s="56" t="s">
        <v>176</v>
      </c>
      <c r="C51" s="38">
        <v>14214</v>
      </c>
      <c r="D51" s="38">
        <f>SUM(D52:D55)</f>
        <v>13141</v>
      </c>
      <c r="E51" s="13">
        <f t="shared" si="4"/>
        <v>-1073</v>
      </c>
      <c r="F51" s="93">
        <f t="shared" si="6"/>
        <v>0.9245</v>
      </c>
      <c r="G51" s="2"/>
      <c r="H51" s="1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</row>
    <row r="52" spans="1:8" ht="42" customHeight="1">
      <c r="A52" s="42" t="s">
        <v>119</v>
      </c>
      <c r="B52" s="51" t="s">
        <v>144</v>
      </c>
      <c r="C52" s="35">
        <v>1161</v>
      </c>
      <c r="D52" s="35">
        <f>C52-124</f>
        <v>1037</v>
      </c>
      <c r="E52" s="94">
        <f>IF(C52=D52,"-",D52-C52)</f>
        <v>-124</v>
      </c>
      <c r="F52" s="100">
        <f t="shared" si="6"/>
        <v>0.8932</v>
      </c>
      <c r="H52" s="116"/>
    </row>
    <row r="53" spans="1:8" ht="31.5" customHeight="1">
      <c r="A53" s="42" t="s">
        <v>35</v>
      </c>
      <c r="B53" s="51" t="s">
        <v>63</v>
      </c>
      <c r="C53" s="35">
        <v>11453</v>
      </c>
      <c r="D53" s="35">
        <f>C53-10052+10372</f>
        <v>11773</v>
      </c>
      <c r="E53" s="94">
        <f>IF(C53=D53,"-",D53-C53)</f>
        <v>320</v>
      </c>
      <c r="F53" s="100">
        <f t="shared" si="6"/>
        <v>1.0279</v>
      </c>
      <c r="H53" s="116"/>
    </row>
    <row r="54" spans="1:8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16"/>
    </row>
    <row r="55" spans="1:8" ht="31.5" customHeight="1">
      <c r="A55" s="42" t="s">
        <v>120</v>
      </c>
      <c r="B55" s="51" t="s">
        <v>122</v>
      </c>
      <c r="C55" s="35">
        <v>1600</v>
      </c>
      <c r="D55" s="35">
        <f>C55-1404+135</f>
        <v>331</v>
      </c>
      <c r="E55" s="94">
        <f>IF(C55=D55,"-",D55-C55)</f>
        <v>-1269</v>
      </c>
      <c r="F55" s="100">
        <f t="shared" si="6"/>
        <v>0.2069</v>
      </c>
      <c r="H55" s="116"/>
    </row>
    <row r="56" spans="1:8" ht="32.25" customHeight="1">
      <c r="A56" s="44" t="s">
        <v>127</v>
      </c>
      <c r="B56" s="56" t="s">
        <v>155</v>
      </c>
      <c r="C56" s="38">
        <v>38</v>
      </c>
      <c r="D56" s="38">
        <f>C56-28+2491</f>
        <v>2501</v>
      </c>
      <c r="E56" s="13">
        <f>IF(C56=D56,"-",D56-C56)</f>
        <v>2463</v>
      </c>
      <c r="F56" s="93">
        <f>IF(C56=0,"-",D56/C56)</f>
        <v>65.8158</v>
      </c>
      <c r="H56" s="116"/>
    </row>
    <row r="57" ht="12.75">
      <c r="H57" s="116"/>
    </row>
    <row r="58" ht="12.75">
      <c r="H58" s="116"/>
    </row>
    <row r="59" ht="12.75">
      <c r="H59" s="116"/>
    </row>
    <row r="60" ht="12.75">
      <c r="H60" s="116"/>
    </row>
    <row r="61" ht="12.75">
      <c r="H61" s="116"/>
    </row>
    <row r="62" ht="12.75">
      <c r="H62" s="116"/>
    </row>
    <row r="63" ht="12.75">
      <c r="H63" s="116"/>
    </row>
    <row r="64" ht="12.75">
      <c r="H64" s="116"/>
    </row>
    <row r="65" ht="12.75">
      <c r="H65" s="116"/>
    </row>
    <row r="66" ht="12.75">
      <c r="H66" s="116"/>
    </row>
    <row r="67" ht="12.75">
      <c r="H67" s="116"/>
    </row>
    <row r="68" ht="12.75">
      <c r="H68" s="116"/>
    </row>
    <row r="69" ht="12.75">
      <c r="H69" s="116"/>
    </row>
    <row r="70" ht="12.75">
      <c r="H70" s="116"/>
    </row>
    <row r="71" ht="12.75">
      <c r="H71" s="116"/>
    </row>
    <row r="72" ht="12.75">
      <c r="H72" s="116"/>
    </row>
    <row r="73" ht="12.75">
      <c r="H73" s="116"/>
    </row>
    <row r="74" ht="12.75">
      <c r="H74" s="116"/>
    </row>
    <row r="75" ht="12.75">
      <c r="H75" s="116"/>
    </row>
    <row r="76" ht="12.75">
      <c r="H76" s="116"/>
    </row>
    <row r="77" ht="12.75">
      <c r="H77" s="116"/>
    </row>
    <row r="78" ht="12.75">
      <c r="H78" s="116"/>
    </row>
    <row r="79" ht="12.75">
      <c r="H79" s="116"/>
    </row>
    <row r="80" ht="12.75">
      <c r="H80" s="116"/>
    </row>
    <row r="81" ht="12.75">
      <c r="H81" s="116"/>
    </row>
    <row r="82" ht="12.75">
      <c r="H82" s="116"/>
    </row>
    <row r="83" ht="12.75">
      <c r="H83" s="116"/>
    </row>
    <row r="84" ht="12.75">
      <c r="H84" s="116"/>
    </row>
    <row r="85" ht="12.75">
      <c r="H85" s="116"/>
    </row>
    <row r="86" ht="12.75">
      <c r="H86" s="116"/>
    </row>
    <row r="87" ht="12.75">
      <c r="H87" s="116"/>
    </row>
    <row r="88" ht="12.75">
      <c r="H88" s="116"/>
    </row>
    <row r="89" ht="12.75">
      <c r="H89" s="116"/>
    </row>
    <row r="90" ht="12.75">
      <c r="H90" s="116"/>
    </row>
    <row r="91" ht="12.75">
      <c r="H91" s="116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44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82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6871565</v>
      </c>
      <c r="D7" s="16">
        <f>D8+D9+D10+D12+D13+D14+D15+D16+D17+D18+D19+D20+D21+D22+D24+D25+D26+D27</f>
        <v>6871565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922987</v>
      </c>
      <c r="D8" s="36">
        <f aca="true" t="shared" si="0" ref="D8:D27">C8</f>
        <v>922987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629011</v>
      </c>
      <c r="D9" s="36">
        <f t="shared" si="0"/>
        <v>629011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3066630</v>
      </c>
      <c r="D10" s="36">
        <f t="shared" si="0"/>
        <v>3066630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138600</v>
      </c>
      <c r="D11" s="36">
        <f t="shared" si="0"/>
        <v>138600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238263</v>
      </c>
      <c r="D12" s="36">
        <f t="shared" si="0"/>
        <v>238263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223659</v>
      </c>
      <c r="D13" s="36">
        <f t="shared" si="0"/>
        <v>223659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149277</v>
      </c>
      <c r="D14" s="36">
        <f t="shared" si="0"/>
        <v>149277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30427</v>
      </c>
      <c r="D15" s="36">
        <f t="shared" si="0"/>
        <v>30427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260313</v>
      </c>
      <c r="D16" s="36">
        <f t="shared" si="0"/>
        <v>260313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91837</v>
      </c>
      <c r="D17" s="36">
        <f t="shared" si="0"/>
        <v>91837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4061</v>
      </c>
      <c r="D18" s="36">
        <f t="shared" si="0"/>
        <v>4061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16028</v>
      </c>
      <c r="D19" s="36">
        <f t="shared" si="0"/>
        <v>16028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160572</v>
      </c>
      <c r="D20" s="36">
        <f t="shared" si="0"/>
        <v>160572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79110</v>
      </c>
      <c r="D21" s="36">
        <f t="shared" si="0"/>
        <v>79110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979114</v>
      </c>
      <c r="D22" s="36">
        <f t="shared" si="0"/>
        <v>979114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1946</v>
      </c>
      <c r="D23" s="36">
        <f t="shared" si="0"/>
        <v>1946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20276</v>
      </c>
      <c r="D27" s="36">
        <f t="shared" si="0"/>
        <v>20276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187413</v>
      </c>
      <c r="D29" s="36">
        <f>C29</f>
        <v>187413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56578</v>
      </c>
      <c r="D30" s="34">
        <f>D31+D32+D33+D41+D42+D48+D49+D50+D47</f>
        <v>56578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2132</v>
      </c>
      <c r="D31" s="35">
        <f>C31</f>
        <v>2132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6543</v>
      </c>
      <c r="D32" s="35">
        <f>C32</f>
        <v>6543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594</v>
      </c>
      <c r="D33" s="35">
        <f>D34+D36+D37+D38+D39+D40</f>
        <v>594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75</v>
      </c>
      <c r="D34" s="35">
        <f>C34</f>
        <v>75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75</v>
      </c>
      <c r="D35" s="35">
        <f aca="true" t="shared" si="4" ref="D35:D47">C35</f>
        <v>75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13</v>
      </c>
      <c r="D37" s="35">
        <f t="shared" si="4"/>
        <v>13</v>
      </c>
      <c r="E37" s="89" t="str">
        <f t="shared" si="3"/>
        <v>-</v>
      </c>
      <c r="F37" s="90">
        <f t="shared" si="2"/>
        <v>1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489</v>
      </c>
      <c r="D39" s="35">
        <f t="shared" si="4"/>
        <v>489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17</v>
      </c>
      <c r="D40" s="35">
        <f t="shared" si="4"/>
        <v>17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34750</v>
      </c>
      <c r="D41" s="35">
        <f t="shared" si="4"/>
        <v>34750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7007</v>
      </c>
      <c r="D42" s="35">
        <f>SUM(D43:D46)</f>
        <v>7007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5279</v>
      </c>
      <c r="D43" s="35">
        <f>C43</f>
        <v>5279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851</v>
      </c>
      <c r="D44" s="35">
        <f>C44</f>
        <v>851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877</v>
      </c>
      <c r="D46" s="35">
        <f>C46</f>
        <v>877</v>
      </c>
      <c r="E46" s="89" t="str">
        <f t="shared" si="3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4860</v>
      </c>
      <c r="D48" s="35">
        <f>C48</f>
        <v>4860</v>
      </c>
      <c r="E48" s="89" t="str">
        <f t="shared" si="3"/>
        <v>-</v>
      </c>
      <c r="F48" s="92">
        <f t="shared" si="5"/>
        <v>1</v>
      </c>
    </row>
    <row r="49" spans="1:6" ht="43.5" customHeight="1">
      <c r="A49" s="42" t="s">
        <v>30</v>
      </c>
      <c r="B49" s="51" t="s">
        <v>31</v>
      </c>
      <c r="C49" s="36">
        <v>216</v>
      </c>
      <c r="D49" s="35">
        <f>C49</f>
        <v>216</v>
      </c>
      <c r="E49" s="89" t="str">
        <f t="shared" si="3"/>
        <v>-</v>
      </c>
      <c r="F49" s="92">
        <f t="shared" si="5"/>
        <v>1</v>
      </c>
    </row>
    <row r="50" spans="1:6" ht="35.25" customHeight="1">
      <c r="A50" s="42" t="s">
        <v>32</v>
      </c>
      <c r="B50" s="51" t="s">
        <v>33</v>
      </c>
      <c r="C50" s="35">
        <v>476</v>
      </c>
      <c r="D50" s="35">
        <f>C50</f>
        <v>476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176</v>
      </c>
      <c r="C51" s="38">
        <v>34279</v>
      </c>
      <c r="D51" s="38">
        <f>SUM(D52:D55)</f>
        <v>16759</v>
      </c>
      <c r="E51" s="13">
        <f t="shared" si="3"/>
        <v>-17520</v>
      </c>
      <c r="F51" s="93">
        <f t="shared" si="5"/>
        <v>0.4889</v>
      </c>
    </row>
    <row r="52" spans="1:6" ht="42" customHeight="1">
      <c r="A52" s="42" t="s">
        <v>119</v>
      </c>
      <c r="B52" s="51" t="s">
        <v>144</v>
      </c>
      <c r="C52" s="35">
        <v>890</v>
      </c>
      <c r="D52" s="35">
        <f>C52-500</f>
        <v>390</v>
      </c>
      <c r="E52" s="94">
        <f>IF(C52=D52,"-",D52-C52)</f>
        <v>-500</v>
      </c>
      <c r="F52" s="100">
        <f t="shared" si="5"/>
        <v>0.4382</v>
      </c>
    </row>
    <row r="53" spans="1:6" ht="31.5" customHeight="1">
      <c r="A53" s="42" t="s">
        <v>35</v>
      </c>
      <c r="B53" s="51" t="s">
        <v>63</v>
      </c>
      <c r="C53" s="35">
        <v>27160</v>
      </c>
      <c r="D53" s="35">
        <f>C53-17020</f>
        <v>10140</v>
      </c>
      <c r="E53" s="94">
        <f>IF(C53=D53,"-",D53-C53)</f>
        <v>-17020</v>
      </c>
      <c r="F53" s="100">
        <f t="shared" si="5"/>
        <v>0.3733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1.5" customHeight="1">
      <c r="A55" s="42" t="s">
        <v>120</v>
      </c>
      <c r="B55" s="51" t="s">
        <v>122</v>
      </c>
      <c r="C55" s="35">
        <v>6229</v>
      </c>
      <c r="D55" s="35">
        <f>C55</f>
        <v>6229</v>
      </c>
      <c r="E55" s="94" t="str">
        <f>IF(C55=D55,"-",D55-C55)</f>
        <v>-</v>
      </c>
      <c r="F55" s="100">
        <f t="shared" si="5"/>
        <v>1</v>
      </c>
    </row>
    <row r="56" spans="1:6" ht="32.25" customHeight="1">
      <c r="A56" s="44" t="s">
        <v>127</v>
      </c>
      <c r="B56" s="56" t="s">
        <v>155</v>
      </c>
      <c r="C56" s="38">
        <v>2989</v>
      </c>
      <c r="D56" s="38">
        <f>C56</f>
        <v>2989</v>
      </c>
      <c r="E56" s="13" t="str">
        <f>IF(C56=D56,"-",D56-C56)</f>
        <v>-</v>
      </c>
      <c r="F56" s="93">
        <f>IF(C56=0,"-",D56/C56)</f>
        <v>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ySplit="7" topLeftCell="A44" activePane="bottomLeft" state="frozen"/>
      <selection pane="topLeft" activeCell="K87" sqref="K87"/>
      <selection pane="bottomLef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83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1767450</v>
      </c>
      <c r="D7" s="16">
        <f>D8+D9+D10+D12+D13+D14+D15+D16+D17+D18+D19+D20+D21+D22+D24+D25+D26+D27</f>
        <v>1767450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239420</v>
      </c>
      <c r="D8" s="36">
        <f aca="true" t="shared" si="0" ref="D8:D28">C8</f>
        <v>239420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117821</v>
      </c>
      <c r="D9" s="36">
        <f t="shared" si="0"/>
        <v>117821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856797</v>
      </c>
      <c r="D10" s="36">
        <f t="shared" si="0"/>
        <v>856797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37400</v>
      </c>
      <c r="D11" s="36">
        <f t="shared" si="0"/>
        <v>37400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59150</v>
      </c>
      <c r="D12" s="36">
        <f t="shared" si="0"/>
        <v>59150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62764</v>
      </c>
      <c r="D13" s="36">
        <f t="shared" si="0"/>
        <v>62764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21175</v>
      </c>
      <c r="D14" s="36">
        <f t="shared" si="0"/>
        <v>21175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7232</v>
      </c>
      <c r="D15" s="36">
        <f t="shared" si="0"/>
        <v>7232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58052</v>
      </c>
      <c r="D16" s="36">
        <f t="shared" si="0"/>
        <v>58052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23497</v>
      </c>
      <c r="D17" s="36">
        <f t="shared" si="0"/>
        <v>23497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1412</v>
      </c>
      <c r="D18" s="36">
        <f t="shared" si="0"/>
        <v>1412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3747</v>
      </c>
      <c r="D19" s="36">
        <f t="shared" si="0"/>
        <v>3747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42334</v>
      </c>
      <c r="D20" s="36">
        <f t="shared" si="0"/>
        <v>42334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19400</v>
      </c>
      <c r="D21" s="36">
        <f t="shared" si="0"/>
        <v>19400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254589</v>
      </c>
      <c r="D22" s="36">
        <f t="shared" si="0"/>
        <v>254589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580</v>
      </c>
      <c r="D23" s="36">
        <f t="shared" si="0"/>
        <v>580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60</v>
      </c>
      <c r="D27" s="36">
        <f t="shared" si="0"/>
        <v>60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0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53126</v>
      </c>
      <c r="D29" s="36">
        <f>C29</f>
        <v>53126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15313</v>
      </c>
      <c r="D30" s="34">
        <f>D31+D32+D33+D41+D42+D48+D49+D50+D47</f>
        <v>15313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676</v>
      </c>
      <c r="D31" s="35">
        <f>C31</f>
        <v>676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1242</v>
      </c>
      <c r="D32" s="35">
        <f>C32</f>
        <v>1242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47</v>
      </c>
      <c r="D33" s="35">
        <f>D34+D36+D37+D38+D39+D40</f>
        <v>47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3</v>
      </c>
      <c r="D34" s="35">
        <f>C34</f>
        <v>3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3</v>
      </c>
      <c r="D35" s="35">
        <f aca="true" t="shared" si="4" ref="D35:D47">C35</f>
        <v>3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3</v>
      </c>
      <c r="D36" s="35">
        <f t="shared" si="4"/>
        <v>3</v>
      </c>
      <c r="E36" s="89" t="str">
        <f t="shared" si="3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41</v>
      </c>
      <c r="D39" s="35">
        <f t="shared" si="4"/>
        <v>41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0</v>
      </c>
      <c r="D40" s="35">
        <f t="shared" si="4"/>
        <v>0</v>
      </c>
      <c r="E40" s="89" t="str">
        <f t="shared" si="3"/>
        <v>-</v>
      </c>
      <c r="F40" s="90" t="str">
        <f t="shared" si="2"/>
        <v>-</v>
      </c>
    </row>
    <row r="41" spans="1:6" ht="28.5" customHeight="1">
      <c r="A41" s="42" t="s">
        <v>24</v>
      </c>
      <c r="B41" s="51" t="s">
        <v>25</v>
      </c>
      <c r="C41" s="35">
        <v>9655</v>
      </c>
      <c r="D41" s="35">
        <f t="shared" si="4"/>
        <v>9655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1953</v>
      </c>
      <c r="D42" s="35">
        <f>SUM(D43:D46)</f>
        <v>1953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1467</v>
      </c>
      <c r="D43" s="35">
        <f>C43</f>
        <v>1467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237</v>
      </c>
      <c r="D44" s="35">
        <f>C44</f>
        <v>237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249</v>
      </c>
      <c r="D46" s="35">
        <f>C46</f>
        <v>249</v>
      </c>
      <c r="E46" s="89" t="str">
        <f t="shared" si="3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1348</v>
      </c>
      <c r="D48" s="35">
        <f>C48</f>
        <v>1348</v>
      </c>
      <c r="E48" s="89" t="str">
        <f t="shared" si="3"/>
        <v>-</v>
      </c>
      <c r="F48" s="92">
        <f t="shared" si="5"/>
        <v>1</v>
      </c>
    </row>
    <row r="49" spans="1:6" ht="43.5" customHeight="1">
      <c r="A49" s="42" t="s">
        <v>30</v>
      </c>
      <c r="B49" s="51" t="s">
        <v>31</v>
      </c>
      <c r="C49" s="36">
        <v>151</v>
      </c>
      <c r="D49" s="35">
        <f>C49</f>
        <v>151</v>
      </c>
      <c r="E49" s="89" t="str">
        <f t="shared" si="3"/>
        <v>-</v>
      </c>
      <c r="F49" s="92">
        <f t="shared" si="5"/>
        <v>1</v>
      </c>
    </row>
    <row r="50" spans="1:6" ht="35.25" customHeight="1">
      <c r="A50" s="42" t="s">
        <v>32</v>
      </c>
      <c r="B50" s="51" t="s">
        <v>33</v>
      </c>
      <c r="C50" s="35">
        <v>241</v>
      </c>
      <c r="D50" s="35">
        <f>C50</f>
        <v>241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176</v>
      </c>
      <c r="C51" s="38">
        <v>18406</v>
      </c>
      <c r="D51" s="38">
        <f>SUM(D52:D55)</f>
        <v>13530</v>
      </c>
      <c r="E51" s="13">
        <f t="shared" si="3"/>
        <v>-4876</v>
      </c>
      <c r="F51" s="93">
        <f t="shared" si="5"/>
        <v>0.7351</v>
      </c>
    </row>
    <row r="52" spans="1:6" ht="42" customHeight="1">
      <c r="A52" s="42" t="s">
        <v>119</v>
      </c>
      <c r="B52" s="51" t="s">
        <v>144</v>
      </c>
      <c r="C52" s="35">
        <v>308</v>
      </c>
      <c r="D52" s="35">
        <f>C52-298</f>
        <v>10</v>
      </c>
      <c r="E52" s="94">
        <f>IF(C52=D52,"-",D52-C52)</f>
        <v>-298</v>
      </c>
      <c r="F52" s="100">
        <f t="shared" si="5"/>
        <v>0.0325</v>
      </c>
    </row>
    <row r="53" spans="1:6" ht="31.5" customHeight="1">
      <c r="A53" s="42" t="s">
        <v>35</v>
      </c>
      <c r="B53" s="51" t="s">
        <v>63</v>
      </c>
      <c r="C53" s="35">
        <v>17598</v>
      </c>
      <c r="D53" s="35">
        <f>C53-4098</f>
        <v>13500</v>
      </c>
      <c r="E53" s="94">
        <f>IF(C53=D53,"-",D53-C53)</f>
        <v>-4098</v>
      </c>
      <c r="F53" s="100">
        <f t="shared" si="5"/>
        <v>0.7671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1.5" customHeight="1">
      <c r="A55" s="42" t="s">
        <v>120</v>
      </c>
      <c r="B55" s="51" t="s">
        <v>122</v>
      </c>
      <c r="C55" s="35">
        <v>500</v>
      </c>
      <c r="D55" s="35">
        <f>C55-480</f>
        <v>20</v>
      </c>
      <c r="E55" s="94">
        <f>IF(C55=D55,"-",D55-C55)</f>
        <v>-480</v>
      </c>
      <c r="F55" s="100">
        <f t="shared" si="5"/>
        <v>0.04</v>
      </c>
    </row>
    <row r="56" spans="1:6" ht="32.25" customHeight="1">
      <c r="A56" s="44" t="s">
        <v>127</v>
      </c>
      <c r="B56" s="56" t="s">
        <v>155</v>
      </c>
      <c r="C56" s="38">
        <v>5928</v>
      </c>
      <c r="D56" s="38">
        <f>C56-5228</f>
        <v>700</v>
      </c>
      <c r="E56" s="13">
        <f>IF(C56=D56,"-",D56-C56)</f>
        <v>-5228</v>
      </c>
      <c r="F56" s="93">
        <f>IF(C56=0,"-",D56/C56)</f>
        <v>0.1181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4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5.125" style="2" bestFit="1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84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1923950</v>
      </c>
      <c r="D7" s="16">
        <f>D8+D9+D10+D12+D13+D14+D15+D16+D17+D18+D19+D20+D21+D22+D24+D25+D26+D27</f>
        <v>1923950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281899</v>
      </c>
      <c r="D8" s="36">
        <f aca="true" t="shared" si="0" ref="D8:D26">C8</f>
        <v>281899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152869</v>
      </c>
      <c r="D9" s="36">
        <f t="shared" si="0"/>
        <v>152869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865078</v>
      </c>
      <c r="D10" s="36">
        <f t="shared" si="0"/>
        <v>865078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31750</v>
      </c>
      <c r="D11" s="36">
        <f t="shared" si="0"/>
        <v>31750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69950</v>
      </c>
      <c r="D12" s="36">
        <f t="shared" si="0"/>
        <v>69950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57800</v>
      </c>
      <c r="D13" s="36">
        <f t="shared" si="0"/>
        <v>57800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22907</v>
      </c>
      <c r="D14" s="36">
        <f t="shared" si="0"/>
        <v>22907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13050</v>
      </c>
      <c r="D15" s="36">
        <f t="shared" si="0"/>
        <v>13050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84006</v>
      </c>
      <c r="D16" s="36">
        <f t="shared" si="0"/>
        <v>84006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18160</v>
      </c>
      <c r="D17" s="36">
        <f t="shared" si="0"/>
        <v>18160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2100</v>
      </c>
      <c r="D18" s="36">
        <f t="shared" si="0"/>
        <v>2100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4994</v>
      </c>
      <c r="D19" s="36">
        <f t="shared" si="0"/>
        <v>4994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43050</v>
      </c>
      <c r="D20" s="36">
        <f t="shared" si="0"/>
        <v>43050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22800</v>
      </c>
      <c r="D21" s="36">
        <f t="shared" si="0"/>
        <v>22800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280287</v>
      </c>
      <c r="D22" s="36">
        <f t="shared" si="0"/>
        <v>280287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1500</v>
      </c>
      <c r="D23" s="36">
        <f t="shared" si="0"/>
        <v>1500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5000</v>
      </c>
      <c r="D27" s="36">
        <f>C27</f>
        <v>5000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86352</v>
      </c>
      <c r="D29" s="36">
        <f>C29</f>
        <v>86352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16733</v>
      </c>
      <c r="D30" s="34">
        <f>D31+D32+D33+D41+D42+D48+D49+D50+D47</f>
        <v>16733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712</v>
      </c>
      <c r="D31" s="35">
        <f>C31</f>
        <v>712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1652</v>
      </c>
      <c r="D32" s="35">
        <f>C32</f>
        <v>1652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77</v>
      </c>
      <c r="D33" s="35">
        <f>D34+D36+D37+D38+D39+D40</f>
        <v>77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30</v>
      </c>
      <c r="D34" s="35">
        <f>C34</f>
        <v>30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28</v>
      </c>
      <c r="D35" s="35">
        <f aca="true" t="shared" si="4" ref="D35:D47">C35</f>
        <v>28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44</v>
      </c>
      <c r="D39" s="35">
        <f t="shared" si="4"/>
        <v>44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3</v>
      </c>
      <c r="D40" s="35">
        <f t="shared" si="4"/>
        <v>3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10100</v>
      </c>
      <c r="D41" s="35">
        <f t="shared" si="4"/>
        <v>10100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2032</v>
      </c>
      <c r="D42" s="35">
        <f>SUM(D43:D46)</f>
        <v>2032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1534</v>
      </c>
      <c r="D43" s="35">
        <f>C43</f>
        <v>1534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247</v>
      </c>
      <c r="D44" s="35">
        <f>C44</f>
        <v>247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251</v>
      </c>
      <c r="D46" s="35">
        <f>C46</f>
        <v>251</v>
      </c>
      <c r="E46" s="89" t="str">
        <f t="shared" si="3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1945</v>
      </c>
      <c r="D48" s="35">
        <f>C48</f>
        <v>1945</v>
      </c>
      <c r="E48" s="89" t="str">
        <f t="shared" si="3"/>
        <v>-</v>
      </c>
      <c r="F48" s="92">
        <f t="shared" si="5"/>
        <v>1</v>
      </c>
    </row>
    <row r="49" spans="1:6" ht="43.5" customHeight="1">
      <c r="A49" s="42" t="s">
        <v>30</v>
      </c>
      <c r="B49" s="51" t="s">
        <v>31</v>
      </c>
      <c r="C49" s="36">
        <v>81</v>
      </c>
      <c r="D49" s="35">
        <f>C49</f>
        <v>81</v>
      </c>
      <c r="E49" s="89" t="str">
        <f t="shared" si="3"/>
        <v>-</v>
      </c>
      <c r="F49" s="92">
        <f t="shared" si="5"/>
        <v>1</v>
      </c>
    </row>
    <row r="50" spans="1:6" ht="35.25" customHeight="1">
      <c r="A50" s="42" t="s">
        <v>32</v>
      </c>
      <c r="B50" s="51" t="s">
        <v>33</v>
      </c>
      <c r="C50" s="35">
        <v>134</v>
      </c>
      <c r="D50" s="35">
        <f>C50</f>
        <v>134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176</v>
      </c>
      <c r="C51" s="38">
        <v>8015</v>
      </c>
      <c r="D51" s="38">
        <f>SUM(D52:D55)</f>
        <v>10784</v>
      </c>
      <c r="E51" s="13">
        <f t="shared" si="3"/>
        <v>2769</v>
      </c>
      <c r="F51" s="93">
        <f t="shared" si="5"/>
        <v>1.3455</v>
      </c>
    </row>
    <row r="52" spans="1:6" ht="42" customHeight="1">
      <c r="A52" s="42" t="s">
        <v>119</v>
      </c>
      <c r="B52" s="51" t="s">
        <v>144</v>
      </c>
      <c r="C52" s="35">
        <v>215</v>
      </c>
      <c r="D52" s="35">
        <f>C52</f>
        <v>215</v>
      </c>
      <c r="E52" s="94" t="str">
        <f>IF(C52=D52,"-",D52-C52)</f>
        <v>-</v>
      </c>
      <c r="F52" s="100">
        <f t="shared" si="5"/>
        <v>1</v>
      </c>
    </row>
    <row r="53" spans="1:6" ht="31.5" customHeight="1">
      <c r="A53" s="42" t="s">
        <v>35</v>
      </c>
      <c r="B53" s="51" t="s">
        <v>63</v>
      </c>
      <c r="C53" s="35">
        <v>7200</v>
      </c>
      <c r="D53" s="35">
        <f>C53+2769</f>
        <v>9969</v>
      </c>
      <c r="E53" s="94">
        <f>IF(C53=D53,"-",D53-C53)</f>
        <v>2769</v>
      </c>
      <c r="F53" s="100">
        <f t="shared" si="5"/>
        <v>1.3846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1.5" customHeight="1">
      <c r="A55" s="42" t="s">
        <v>120</v>
      </c>
      <c r="B55" s="51" t="s">
        <v>122</v>
      </c>
      <c r="C55" s="35">
        <v>600</v>
      </c>
      <c r="D55" s="35">
        <f>C55</f>
        <v>600</v>
      </c>
      <c r="E55" s="94" t="str">
        <f>IF(C55=D55,"-",D55-C55)</f>
        <v>-</v>
      </c>
      <c r="F55" s="100">
        <f t="shared" si="5"/>
        <v>1</v>
      </c>
    </row>
    <row r="56" spans="1:6" ht="32.25" customHeight="1">
      <c r="A56" s="44" t="s">
        <v>127</v>
      </c>
      <c r="B56" s="56" t="s">
        <v>155</v>
      </c>
      <c r="C56" s="38">
        <v>3</v>
      </c>
      <c r="D56" s="38">
        <f>C56+7934</f>
        <v>7937</v>
      </c>
      <c r="E56" s="13">
        <f>IF(C56=D56,"-",D56-C56)</f>
        <v>7934</v>
      </c>
      <c r="F56" s="119">
        <f>IF(C56=0,"-",D56/C56)</f>
        <v>2645.6667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4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85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4759883</v>
      </c>
      <c r="D7" s="16">
        <f>D8+D9+D10+D12+D13+D14+D15+D16+D17+D18+D19+D20+D21+D22+D24+D25+D26+D27</f>
        <v>4759883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680000</v>
      </c>
      <c r="D8" s="36">
        <f aca="true" t="shared" si="0" ref="D8:D22">C8</f>
        <v>680000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394000</v>
      </c>
      <c r="D9" s="36">
        <f t="shared" si="0"/>
        <v>394000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2257397</v>
      </c>
      <c r="D10" s="36">
        <f t="shared" si="0"/>
        <v>2257397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99500</v>
      </c>
      <c r="D11" s="36">
        <f t="shared" si="0"/>
        <v>99500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164700</v>
      </c>
      <c r="D12" s="36">
        <f t="shared" si="0"/>
        <v>164700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132000</v>
      </c>
      <c r="D13" s="36">
        <f t="shared" si="0"/>
        <v>132000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43800</v>
      </c>
      <c r="D14" s="36">
        <f t="shared" si="0"/>
        <v>43800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38000</v>
      </c>
      <c r="D15" s="36">
        <f t="shared" si="0"/>
        <v>38000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159500</v>
      </c>
      <c r="D16" s="36">
        <f t="shared" si="0"/>
        <v>159500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59250</v>
      </c>
      <c r="D17" s="36">
        <f t="shared" si="0"/>
        <v>59250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2600</v>
      </c>
      <c r="D18" s="36">
        <f t="shared" si="0"/>
        <v>2600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10500</v>
      </c>
      <c r="D19" s="36">
        <f t="shared" si="0"/>
        <v>10500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113750</v>
      </c>
      <c r="D20" s="36">
        <f t="shared" si="0"/>
        <v>113750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52000</v>
      </c>
      <c r="D21" s="36">
        <f t="shared" si="0"/>
        <v>52000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626586</v>
      </c>
      <c r="D22" s="36">
        <f t="shared" si="0"/>
        <v>626586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1500</v>
      </c>
      <c r="D23" s="36">
        <f aca="true" t="shared" si="3" ref="D23:D29">C23</f>
        <v>1500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25800</v>
      </c>
      <c r="D27" s="36">
        <f t="shared" si="3"/>
        <v>25800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138440</v>
      </c>
      <c r="D29" s="36">
        <f t="shared" si="3"/>
        <v>138440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44022</v>
      </c>
      <c r="D30" s="34">
        <f>D31+D32+D33+D41+D42+D48+D49+D50+D47</f>
        <v>44022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2046</v>
      </c>
      <c r="D31" s="35">
        <f>C31</f>
        <v>2046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6491</v>
      </c>
      <c r="D32" s="35">
        <f>C32</f>
        <v>6491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322</v>
      </c>
      <c r="D33" s="35">
        <f>D34+D36+D37+D38+D39+D40</f>
        <v>322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40</v>
      </c>
      <c r="D34" s="35">
        <f>C34</f>
        <v>40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40</v>
      </c>
      <c r="D35" s="35">
        <f>C35</f>
        <v>40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aca="true" t="shared" si="5" ref="D36:D41">C36</f>
        <v>0</v>
      </c>
      <c r="E36" s="89" t="str">
        <f t="shared" si="4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220</v>
      </c>
      <c r="D39" s="35">
        <f t="shared" si="5"/>
        <v>220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62</v>
      </c>
      <c r="D40" s="35">
        <f t="shared" si="5"/>
        <v>62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21244</v>
      </c>
      <c r="D41" s="35">
        <f t="shared" si="5"/>
        <v>21244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4282</v>
      </c>
      <c r="D42" s="35">
        <f>SUM(D43:D46)</f>
        <v>4282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3177</v>
      </c>
      <c r="D43" s="35">
        <f aca="true" t="shared" si="6" ref="D43:D50">C43</f>
        <v>3177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521</v>
      </c>
      <c r="D44" s="35">
        <f t="shared" si="6"/>
        <v>521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6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584</v>
      </c>
      <c r="D46" s="35">
        <f t="shared" si="6"/>
        <v>584</v>
      </c>
      <c r="E46" s="89" t="str">
        <f t="shared" si="4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6"/>
        <v>0</v>
      </c>
      <c r="E47" s="89" t="str">
        <f t="shared" si="4"/>
        <v>-</v>
      </c>
      <c r="F47" s="90" t="str">
        <f aca="true" t="shared" si="7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8770</v>
      </c>
      <c r="D48" s="35">
        <f t="shared" si="6"/>
        <v>8770</v>
      </c>
      <c r="E48" s="89" t="str">
        <f t="shared" si="4"/>
        <v>-</v>
      </c>
      <c r="F48" s="92">
        <f t="shared" si="7"/>
        <v>1</v>
      </c>
    </row>
    <row r="49" spans="1:6" ht="43.5" customHeight="1">
      <c r="A49" s="42" t="s">
        <v>30</v>
      </c>
      <c r="B49" s="51" t="s">
        <v>31</v>
      </c>
      <c r="C49" s="36">
        <v>402</v>
      </c>
      <c r="D49" s="35">
        <f t="shared" si="6"/>
        <v>402</v>
      </c>
      <c r="E49" s="89" t="str">
        <f t="shared" si="4"/>
        <v>-</v>
      </c>
      <c r="F49" s="92">
        <f t="shared" si="7"/>
        <v>1</v>
      </c>
    </row>
    <row r="50" spans="1:6" ht="35.25" customHeight="1">
      <c r="A50" s="42" t="s">
        <v>32</v>
      </c>
      <c r="B50" s="51" t="s">
        <v>33</v>
      </c>
      <c r="C50" s="35">
        <v>465</v>
      </c>
      <c r="D50" s="35">
        <f t="shared" si="6"/>
        <v>465</v>
      </c>
      <c r="E50" s="89" t="str">
        <f t="shared" si="4"/>
        <v>-</v>
      </c>
      <c r="F50" s="90">
        <f t="shared" si="7"/>
        <v>1</v>
      </c>
    </row>
    <row r="51" spans="1:6" s="3" customFormat="1" ht="30" customHeight="1">
      <c r="A51" s="44" t="s">
        <v>34</v>
      </c>
      <c r="B51" s="56" t="s">
        <v>176</v>
      </c>
      <c r="C51" s="38">
        <v>23387</v>
      </c>
      <c r="D51" s="38">
        <f>SUM(D52:D55)</f>
        <v>37219</v>
      </c>
      <c r="E51" s="13">
        <f t="shared" si="4"/>
        <v>13832</v>
      </c>
      <c r="F51" s="93">
        <f t="shared" si="7"/>
        <v>1.5914</v>
      </c>
    </row>
    <row r="52" spans="1:6" ht="42" customHeight="1">
      <c r="A52" s="42" t="s">
        <v>119</v>
      </c>
      <c r="B52" s="51" t="s">
        <v>144</v>
      </c>
      <c r="C52" s="35">
        <v>1235</v>
      </c>
      <c r="D52" s="35">
        <f>C52-1205</f>
        <v>30</v>
      </c>
      <c r="E52" s="94">
        <f>IF(C52=D52,"-",D52-C52)</f>
        <v>-1205</v>
      </c>
      <c r="F52" s="100">
        <f t="shared" si="7"/>
        <v>0.0243</v>
      </c>
    </row>
    <row r="53" spans="1:6" ht="31.5" customHeight="1">
      <c r="A53" s="42" t="s">
        <v>35</v>
      </c>
      <c r="B53" s="51" t="s">
        <v>63</v>
      </c>
      <c r="C53" s="35">
        <v>18707</v>
      </c>
      <c r="D53" s="35">
        <f>C53+18182</f>
        <v>36889</v>
      </c>
      <c r="E53" s="94">
        <f>IF(C53=D53,"-",D53-C53)</f>
        <v>18182</v>
      </c>
      <c r="F53" s="100">
        <f t="shared" si="7"/>
        <v>1.9719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7"/>
        <v>-</v>
      </c>
    </row>
    <row r="55" spans="1:6" ht="31.5" customHeight="1">
      <c r="A55" s="42" t="s">
        <v>120</v>
      </c>
      <c r="B55" s="51" t="s">
        <v>122</v>
      </c>
      <c r="C55" s="35">
        <v>3445</v>
      </c>
      <c r="D55" s="35">
        <f>C55-3145</f>
        <v>300</v>
      </c>
      <c r="E55" s="94">
        <f>IF(C55=D55,"-",D55-C55)</f>
        <v>-3145</v>
      </c>
      <c r="F55" s="100">
        <f t="shared" si="7"/>
        <v>0.0871</v>
      </c>
    </row>
    <row r="56" spans="1:6" ht="32.25" customHeight="1">
      <c r="A56" s="44" t="s">
        <v>127</v>
      </c>
      <c r="B56" s="56" t="s">
        <v>155</v>
      </c>
      <c r="C56" s="38">
        <v>5259</v>
      </c>
      <c r="D56" s="38">
        <f>C56+20527</f>
        <v>25786</v>
      </c>
      <c r="E56" s="13">
        <f>IF(C56=D56,"-",D56-C56)</f>
        <v>20527</v>
      </c>
      <c r="F56" s="93">
        <f>IF(C56=0,"-",D56/C56)</f>
        <v>4.9032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44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86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2435460</v>
      </c>
      <c r="D7" s="16">
        <f>D8+D9+D10+D12+D13+D14+D15+D16+D17+D18+D19+D20+D21+D22+D24+D25+D26+D27</f>
        <v>2435460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342896</v>
      </c>
      <c r="D8" s="36">
        <f aca="true" t="shared" si="0" ref="D8:D23">C8</f>
        <v>342896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179866</v>
      </c>
      <c r="D9" s="36">
        <f t="shared" si="0"/>
        <v>179866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1145169</v>
      </c>
      <c r="D10" s="36">
        <f t="shared" si="0"/>
        <v>1145169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51286</v>
      </c>
      <c r="D11" s="36">
        <f t="shared" si="0"/>
        <v>51286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84296</v>
      </c>
      <c r="D12" s="36">
        <f t="shared" si="0"/>
        <v>84296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65360</v>
      </c>
      <c r="D13" s="36">
        <f t="shared" si="0"/>
        <v>65360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22183</v>
      </c>
      <c r="D14" s="36">
        <f t="shared" si="0"/>
        <v>22183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7049</v>
      </c>
      <c r="D15" s="36">
        <f t="shared" si="0"/>
        <v>7049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97326</v>
      </c>
      <c r="D16" s="36">
        <f t="shared" si="0"/>
        <v>97326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32386</v>
      </c>
      <c r="D17" s="36">
        <f t="shared" si="0"/>
        <v>32386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1748</v>
      </c>
      <c r="D18" s="36">
        <f t="shared" si="0"/>
        <v>1748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6443</v>
      </c>
      <c r="D19" s="36">
        <f t="shared" si="0"/>
        <v>6443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57300</v>
      </c>
      <c r="D20" s="36">
        <f t="shared" si="0"/>
        <v>57300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27373</v>
      </c>
      <c r="D21" s="36">
        <f t="shared" si="0"/>
        <v>27373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363359</v>
      </c>
      <c r="D22" s="36">
        <f t="shared" si="0"/>
        <v>363359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959</v>
      </c>
      <c r="D23" s="36">
        <f t="shared" si="0"/>
        <v>959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aca="true" t="shared" si="3" ref="D24:D29">C24</f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2706</v>
      </c>
      <c r="D27" s="36">
        <f t="shared" si="3"/>
        <v>2706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93966</v>
      </c>
      <c r="D29" s="36">
        <f t="shared" si="3"/>
        <v>93966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19114</v>
      </c>
      <c r="D30" s="34">
        <f>D31+D32+D33+D41+D42+D48+D49+D50+D47</f>
        <v>19114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814</v>
      </c>
      <c r="D31" s="35">
        <f>C31</f>
        <v>814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2040</v>
      </c>
      <c r="D32" s="35">
        <f>C32</f>
        <v>2040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206</v>
      </c>
      <c r="D33" s="35">
        <f>D34+D36+D37+D38+D39+D40</f>
        <v>206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24</v>
      </c>
      <c r="D34" s="35">
        <f>C34</f>
        <v>24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24</v>
      </c>
      <c r="D35" s="35">
        <f aca="true" t="shared" si="5" ref="D35:D45">C35</f>
        <v>24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5</v>
      </c>
      <c r="D36" s="35">
        <f t="shared" si="5"/>
        <v>5</v>
      </c>
      <c r="E36" s="89" t="str">
        <f t="shared" si="4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160</v>
      </c>
      <c r="D39" s="35">
        <f t="shared" si="5"/>
        <v>160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17</v>
      </c>
      <c r="D40" s="35">
        <f t="shared" si="5"/>
        <v>17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11617</v>
      </c>
      <c r="D41" s="35">
        <f t="shared" si="5"/>
        <v>11617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2351</v>
      </c>
      <c r="D42" s="35">
        <f>SUM(D43:D46)</f>
        <v>2351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1765</v>
      </c>
      <c r="D43" s="35">
        <f>C43</f>
        <v>1765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285</v>
      </c>
      <c r="D44" s="35">
        <f>C44</f>
        <v>285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301</v>
      </c>
      <c r="D46" s="35">
        <f>C46</f>
        <v>301</v>
      </c>
      <c r="E46" s="89" t="str">
        <f t="shared" si="4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>C47</f>
        <v>0</v>
      </c>
      <c r="E47" s="89" t="str">
        <f t="shared" si="4"/>
        <v>-</v>
      </c>
      <c r="F47" s="90" t="str">
        <f aca="true" t="shared" si="6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1693</v>
      </c>
      <c r="D48" s="35">
        <f>C48</f>
        <v>1693</v>
      </c>
      <c r="E48" s="89" t="str">
        <f t="shared" si="4"/>
        <v>-</v>
      </c>
      <c r="F48" s="92">
        <f t="shared" si="6"/>
        <v>1</v>
      </c>
    </row>
    <row r="49" spans="1:6" ht="43.5" customHeight="1">
      <c r="A49" s="42" t="s">
        <v>30</v>
      </c>
      <c r="B49" s="51" t="s">
        <v>31</v>
      </c>
      <c r="C49" s="36">
        <v>209</v>
      </c>
      <c r="D49" s="35">
        <f>C49</f>
        <v>209</v>
      </c>
      <c r="E49" s="89" t="str">
        <f t="shared" si="4"/>
        <v>-</v>
      </c>
      <c r="F49" s="92">
        <f t="shared" si="6"/>
        <v>1</v>
      </c>
    </row>
    <row r="50" spans="1:6" ht="35.25" customHeight="1">
      <c r="A50" s="42" t="s">
        <v>32</v>
      </c>
      <c r="B50" s="51" t="s">
        <v>33</v>
      </c>
      <c r="C50" s="35">
        <v>184</v>
      </c>
      <c r="D50" s="35">
        <f>C50</f>
        <v>184</v>
      </c>
      <c r="E50" s="89" t="str">
        <f t="shared" si="4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176</v>
      </c>
      <c r="C51" s="38">
        <v>9565</v>
      </c>
      <c r="D51" s="38">
        <f>SUM(D52:D55)</f>
        <v>5664</v>
      </c>
      <c r="E51" s="13">
        <f t="shared" si="4"/>
        <v>-3901</v>
      </c>
      <c r="F51" s="93">
        <f t="shared" si="6"/>
        <v>0.5922</v>
      </c>
    </row>
    <row r="52" spans="1:6" ht="42" customHeight="1">
      <c r="A52" s="42" t="s">
        <v>119</v>
      </c>
      <c r="B52" s="51" t="s">
        <v>144</v>
      </c>
      <c r="C52" s="35">
        <v>15</v>
      </c>
      <c r="D52" s="35">
        <f>C52+1+16</f>
        <v>32</v>
      </c>
      <c r="E52" s="94">
        <f>IF(C52=D52,"-",D52-C52)</f>
        <v>17</v>
      </c>
      <c r="F52" s="100">
        <f t="shared" si="6"/>
        <v>2.1333</v>
      </c>
    </row>
    <row r="53" spans="1:6" ht="31.5" customHeight="1">
      <c r="A53" s="42" t="s">
        <v>35</v>
      </c>
      <c r="B53" s="51" t="s">
        <v>63</v>
      </c>
      <c r="C53" s="35">
        <v>9330</v>
      </c>
      <c r="D53" s="35">
        <f>C53-3700-16</f>
        <v>5614</v>
      </c>
      <c r="E53" s="94">
        <f>IF(C53=D53,"-",D53-C53)</f>
        <v>-3716</v>
      </c>
      <c r="F53" s="100">
        <f t="shared" si="6"/>
        <v>0.6017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1.5" customHeight="1">
      <c r="A55" s="42" t="s">
        <v>120</v>
      </c>
      <c r="B55" s="51" t="s">
        <v>122</v>
      </c>
      <c r="C55" s="35">
        <v>220</v>
      </c>
      <c r="D55" s="35">
        <f>C55-202</f>
        <v>18</v>
      </c>
      <c r="E55" s="94">
        <f>IF(C55=D55,"-",D55-C55)</f>
        <v>-202</v>
      </c>
      <c r="F55" s="100">
        <f t="shared" si="6"/>
        <v>0.0818</v>
      </c>
    </row>
    <row r="56" spans="1:6" ht="32.25" customHeight="1">
      <c r="A56" s="44" t="s">
        <v>127</v>
      </c>
      <c r="B56" s="56" t="s">
        <v>155</v>
      </c>
      <c r="C56" s="38">
        <v>18</v>
      </c>
      <c r="D56" s="38">
        <f>C56+292</f>
        <v>310</v>
      </c>
      <c r="E56" s="13">
        <f>IF(C56=D56,"-",D56-C56)</f>
        <v>292</v>
      </c>
      <c r="F56" s="93">
        <f>IF(C56=0,"-",D56/C56)</f>
        <v>17.2222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zoomScale="55" zoomScaleNormal="55" zoomScaleSheetLayoutView="55" zoomScalePageLayoutView="0" workbookViewId="0" topLeftCell="A1">
      <pane xSplit="1" ySplit="7" topLeftCell="B44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9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89</v>
      </c>
      <c r="B2" s="207"/>
      <c r="C2" s="207"/>
    </row>
    <row r="3" spans="1:6" ht="33" customHeight="1">
      <c r="A3" s="1"/>
      <c r="B3" s="87"/>
      <c r="D3" s="30"/>
      <c r="E3" s="30"/>
      <c r="F3" s="30" t="s">
        <v>90</v>
      </c>
    </row>
    <row r="4" spans="1:6" s="6" customFormat="1" ht="33" customHeight="1">
      <c r="A4" s="208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424971</v>
      </c>
      <c r="D7" s="16">
        <f>D8+D9+D10+D12+D13+D14+D15+D16+D17+D18+D19+D20+D21+D22+D24+D25+D26+D27</f>
        <v>248741</v>
      </c>
      <c r="E7" s="13">
        <f>IF(C7=D7,"-",D7-C7)</f>
        <v>-176230</v>
      </c>
      <c r="F7" s="88">
        <f>IF(C7=0,"-",D7/C7)</f>
        <v>0.585</v>
      </c>
      <c r="H7" s="197"/>
    </row>
    <row r="8" spans="1:8" ht="31.5" customHeight="1">
      <c r="A8" s="40" t="s">
        <v>1</v>
      </c>
      <c r="B8" s="46" t="s">
        <v>167</v>
      </c>
      <c r="C8" s="36">
        <v>0</v>
      </c>
      <c r="D8" s="36">
        <f>C8</f>
        <v>0</v>
      </c>
      <c r="E8" s="89" t="str">
        <f aca="true" t="shared" si="0" ref="E8:E29">IF(C8=D8,"-",D8-C8)</f>
        <v>-</v>
      </c>
      <c r="F8" s="90" t="str">
        <f aca="true" t="shared" si="1" ref="F8:F46">IF(C8=0,"-",D8/C8)</f>
        <v>-</v>
      </c>
      <c r="H8" s="197"/>
    </row>
    <row r="9" spans="1:8" ht="31.5" customHeight="1">
      <c r="A9" s="40" t="s">
        <v>2</v>
      </c>
      <c r="B9" s="46" t="s">
        <v>168</v>
      </c>
      <c r="C9" s="36">
        <v>0</v>
      </c>
      <c r="D9" s="36">
        <f aca="true" t="shared" si="2" ref="D9:D29">C9</f>
        <v>0</v>
      </c>
      <c r="E9" s="89" t="str">
        <f t="shared" si="0"/>
        <v>-</v>
      </c>
      <c r="F9" s="90" t="str">
        <f t="shared" si="1"/>
        <v>-</v>
      </c>
      <c r="H9" s="197"/>
    </row>
    <row r="10" spans="1:8" ht="31.5" customHeight="1">
      <c r="A10" s="40" t="s">
        <v>3</v>
      </c>
      <c r="B10" s="46" t="s">
        <v>158</v>
      </c>
      <c r="C10" s="36">
        <v>0</v>
      </c>
      <c r="D10" s="36">
        <f t="shared" si="2"/>
        <v>0</v>
      </c>
      <c r="E10" s="89" t="str">
        <f t="shared" si="0"/>
        <v>-</v>
      </c>
      <c r="F10" s="90" t="str">
        <f t="shared" si="1"/>
        <v>-</v>
      </c>
      <c r="H10" s="197"/>
    </row>
    <row r="11" spans="1:8" ht="31.5" customHeight="1">
      <c r="A11" s="39" t="s">
        <v>64</v>
      </c>
      <c r="B11" s="45" t="s">
        <v>65</v>
      </c>
      <c r="C11" s="36">
        <v>0</v>
      </c>
      <c r="D11" s="36">
        <f>C11</f>
        <v>0</v>
      </c>
      <c r="E11" s="89" t="str">
        <f t="shared" si="0"/>
        <v>-</v>
      </c>
      <c r="F11" s="90" t="str">
        <f t="shared" si="1"/>
        <v>-</v>
      </c>
      <c r="H11" s="197"/>
    </row>
    <row r="12" spans="1:8" ht="31.5" customHeight="1">
      <c r="A12" s="40" t="s">
        <v>4</v>
      </c>
      <c r="B12" s="46" t="s">
        <v>174</v>
      </c>
      <c r="C12" s="36">
        <v>0</v>
      </c>
      <c r="D12" s="36">
        <f t="shared" si="2"/>
        <v>0</v>
      </c>
      <c r="E12" s="89" t="str">
        <f t="shared" si="0"/>
        <v>-</v>
      </c>
      <c r="F12" s="90" t="str">
        <f t="shared" si="1"/>
        <v>-</v>
      </c>
      <c r="H12" s="197"/>
    </row>
    <row r="13" spans="1:8" ht="31.5" customHeight="1">
      <c r="A13" s="40" t="s">
        <v>5</v>
      </c>
      <c r="B13" s="46" t="s">
        <v>169</v>
      </c>
      <c r="C13" s="36">
        <v>0</v>
      </c>
      <c r="D13" s="36">
        <f t="shared" si="2"/>
        <v>0</v>
      </c>
      <c r="E13" s="89" t="str">
        <f t="shared" si="0"/>
        <v>-</v>
      </c>
      <c r="F13" s="90" t="str">
        <f t="shared" si="1"/>
        <v>-</v>
      </c>
      <c r="H13" s="197"/>
    </row>
    <row r="14" spans="1:8" ht="31.5" customHeight="1">
      <c r="A14" s="40" t="s">
        <v>6</v>
      </c>
      <c r="B14" s="46" t="s">
        <v>178</v>
      </c>
      <c r="C14" s="36">
        <v>0</v>
      </c>
      <c r="D14" s="36">
        <f t="shared" si="2"/>
        <v>0</v>
      </c>
      <c r="E14" s="89" t="str">
        <f t="shared" si="0"/>
        <v>-</v>
      </c>
      <c r="F14" s="90" t="str">
        <f t="shared" si="1"/>
        <v>-</v>
      </c>
      <c r="H14" s="197"/>
    </row>
    <row r="15" spans="1:8" ht="31.5" customHeight="1">
      <c r="A15" s="40" t="s">
        <v>7</v>
      </c>
      <c r="B15" s="46" t="s">
        <v>177</v>
      </c>
      <c r="C15" s="36">
        <v>0</v>
      </c>
      <c r="D15" s="36">
        <f>C15</f>
        <v>0</v>
      </c>
      <c r="E15" s="89" t="str">
        <f>IF(C15=D15,"-",D15-C15)</f>
        <v>-</v>
      </c>
      <c r="F15" s="90" t="str">
        <f>IF(C15=0,"-",D15/C15)</f>
        <v>-</v>
      </c>
      <c r="H15" s="197"/>
    </row>
    <row r="16" spans="1:8" ht="31.5" customHeight="1">
      <c r="A16" s="40" t="s">
        <v>8</v>
      </c>
      <c r="B16" s="46" t="s">
        <v>170</v>
      </c>
      <c r="C16" s="36">
        <v>0</v>
      </c>
      <c r="D16" s="36">
        <f t="shared" si="2"/>
        <v>0</v>
      </c>
      <c r="E16" s="89" t="str">
        <f t="shared" si="0"/>
        <v>-</v>
      </c>
      <c r="F16" s="90" t="str">
        <f t="shared" si="1"/>
        <v>-</v>
      </c>
      <c r="H16" s="197"/>
    </row>
    <row r="17" spans="1:8" ht="31.5" customHeight="1">
      <c r="A17" s="40" t="s">
        <v>9</v>
      </c>
      <c r="B17" s="46" t="s">
        <v>171</v>
      </c>
      <c r="C17" s="36">
        <v>0</v>
      </c>
      <c r="D17" s="36">
        <f t="shared" si="2"/>
        <v>0</v>
      </c>
      <c r="E17" s="89" t="str">
        <f t="shared" si="0"/>
        <v>-</v>
      </c>
      <c r="F17" s="90" t="str">
        <f t="shared" si="1"/>
        <v>-</v>
      </c>
      <c r="H17" s="197"/>
    </row>
    <row r="18" spans="1:8" ht="31.5" customHeight="1">
      <c r="A18" s="40" t="s">
        <v>10</v>
      </c>
      <c r="B18" s="46" t="s">
        <v>179</v>
      </c>
      <c r="C18" s="36">
        <v>0</v>
      </c>
      <c r="D18" s="36">
        <f t="shared" si="2"/>
        <v>0</v>
      </c>
      <c r="E18" s="89" t="str">
        <f t="shared" si="0"/>
        <v>-</v>
      </c>
      <c r="F18" s="90" t="str">
        <f t="shared" si="1"/>
        <v>-</v>
      </c>
      <c r="H18" s="197"/>
    </row>
    <row r="19" spans="1:8" ht="46.5" customHeight="1">
      <c r="A19" s="40" t="s">
        <v>11</v>
      </c>
      <c r="B19" s="46" t="s">
        <v>172</v>
      </c>
      <c r="C19" s="36">
        <v>0</v>
      </c>
      <c r="D19" s="36">
        <f t="shared" si="2"/>
        <v>0</v>
      </c>
      <c r="E19" s="89" t="str">
        <f t="shared" si="0"/>
        <v>-</v>
      </c>
      <c r="F19" s="90" t="str">
        <f t="shared" si="1"/>
        <v>-</v>
      </c>
      <c r="H19" s="197"/>
    </row>
    <row r="20" spans="1:8" ht="31.5" customHeight="1">
      <c r="A20" s="40" t="s">
        <v>12</v>
      </c>
      <c r="B20" s="46" t="s">
        <v>173</v>
      </c>
      <c r="C20" s="36">
        <v>0</v>
      </c>
      <c r="D20" s="36">
        <f t="shared" si="2"/>
        <v>0</v>
      </c>
      <c r="E20" s="89" t="str">
        <f t="shared" si="0"/>
        <v>-</v>
      </c>
      <c r="F20" s="90" t="str">
        <f t="shared" si="1"/>
        <v>-</v>
      </c>
      <c r="H20" s="197"/>
    </row>
    <row r="21" spans="1:8" ht="31.5" customHeight="1">
      <c r="A21" s="40" t="s">
        <v>14</v>
      </c>
      <c r="B21" s="46" t="s">
        <v>13</v>
      </c>
      <c r="C21" s="36">
        <v>0</v>
      </c>
      <c r="D21" s="36">
        <f t="shared" si="2"/>
        <v>0</v>
      </c>
      <c r="E21" s="89" t="str">
        <f t="shared" si="0"/>
        <v>-</v>
      </c>
      <c r="F21" s="90" t="str">
        <f t="shared" si="1"/>
        <v>-</v>
      </c>
      <c r="H21" s="197"/>
    </row>
    <row r="22" spans="1:8" ht="31.5" customHeight="1">
      <c r="A22" s="41" t="s">
        <v>15</v>
      </c>
      <c r="B22" s="102" t="s">
        <v>175</v>
      </c>
      <c r="C22" s="36">
        <v>0</v>
      </c>
      <c r="D22" s="36">
        <f t="shared" si="2"/>
        <v>0</v>
      </c>
      <c r="E22" s="89" t="str">
        <f t="shared" si="0"/>
        <v>-</v>
      </c>
      <c r="F22" s="90" t="str">
        <f t="shared" si="1"/>
        <v>-</v>
      </c>
      <c r="H22" s="197"/>
    </row>
    <row r="23" spans="1:8" ht="31.5" customHeight="1">
      <c r="A23" s="39" t="s">
        <v>180</v>
      </c>
      <c r="B23" s="45" t="s">
        <v>66</v>
      </c>
      <c r="C23" s="36">
        <v>0</v>
      </c>
      <c r="D23" s="36">
        <f t="shared" si="2"/>
        <v>0</v>
      </c>
      <c r="E23" s="89" t="str">
        <f t="shared" si="0"/>
        <v>-</v>
      </c>
      <c r="F23" s="90" t="str">
        <f t="shared" si="1"/>
        <v>-</v>
      </c>
      <c r="H23" s="197"/>
    </row>
    <row r="24" spans="1:8" ht="33" customHeight="1">
      <c r="A24" s="42" t="s">
        <v>16</v>
      </c>
      <c r="B24" s="47" t="s">
        <v>140</v>
      </c>
      <c r="C24" s="36">
        <v>416230</v>
      </c>
      <c r="D24" s="36">
        <f>C24-176230</f>
        <v>240000</v>
      </c>
      <c r="E24" s="89">
        <f>IF(C24=D24,"-",D24-C24)</f>
        <v>-176230</v>
      </c>
      <c r="F24" s="90">
        <f>IF(C24=0,"-",D24/C24)</f>
        <v>0.5766</v>
      </c>
      <c r="H24" s="197"/>
    </row>
    <row r="25" spans="1:8" ht="33" customHeight="1">
      <c r="A25" s="42" t="s">
        <v>137</v>
      </c>
      <c r="B25" s="48" t="s">
        <v>60</v>
      </c>
      <c r="C25" s="36">
        <v>8741</v>
      </c>
      <c r="D25" s="36">
        <f>C25</f>
        <v>8741</v>
      </c>
      <c r="E25" s="89" t="str">
        <f>IF(C25=D25,"-",D25-C25)</f>
        <v>-</v>
      </c>
      <c r="F25" s="90">
        <f>IF(C25=0,"-",D25/C25)</f>
        <v>1</v>
      </c>
      <c r="H25" s="197"/>
    </row>
    <row r="26" spans="1:8" ht="33" customHeight="1">
      <c r="A26" s="42" t="s">
        <v>138</v>
      </c>
      <c r="B26" s="48" t="s">
        <v>141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97"/>
    </row>
    <row r="27" spans="1:8" ht="33" customHeight="1">
      <c r="A27" s="42" t="s">
        <v>139</v>
      </c>
      <c r="B27" s="48" t="s">
        <v>142</v>
      </c>
      <c r="C27" s="36">
        <v>0</v>
      </c>
      <c r="D27" s="36">
        <f t="shared" si="2"/>
        <v>0</v>
      </c>
      <c r="E27" s="89" t="str">
        <f>IF(C27=D27,"-",D27-C27)</f>
        <v>-</v>
      </c>
      <c r="F27" s="90" t="str">
        <f>IF(C27=0,"-",D27/C27)</f>
        <v>-</v>
      </c>
      <c r="H27" s="197"/>
    </row>
    <row r="28" spans="1:8" s="5" customFormat="1" ht="31.5" customHeight="1">
      <c r="A28" s="43" t="s">
        <v>68</v>
      </c>
      <c r="B28" s="49" t="s">
        <v>69</v>
      </c>
      <c r="C28" s="35">
        <v>629</v>
      </c>
      <c r="D28" s="36">
        <f>C28</f>
        <v>629</v>
      </c>
      <c r="E28" s="89" t="str">
        <f t="shared" si="0"/>
        <v>-</v>
      </c>
      <c r="F28" s="90">
        <f t="shared" si="1"/>
        <v>1</v>
      </c>
      <c r="H28" s="197"/>
    </row>
    <row r="29" spans="1:8" s="5" customFormat="1" ht="31.5" customHeight="1">
      <c r="A29" s="43" t="s">
        <v>67</v>
      </c>
      <c r="B29" s="49" t="s">
        <v>70</v>
      </c>
      <c r="C29" s="35">
        <v>0</v>
      </c>
      <c r="D29" s="36">
        <f t="shared" si="2"/>
        <v>0</v>
      </c>
      <c r="E29" s="89" t="str">
        <f t="shared" si="0"/>
        <v>-</v>
      </c>
      <c r="F29" s="90" t="str">
        <f t="shared" si="1"/>
        <v>-</v>
      </c>
      <c r="H29" s="197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171583</v>
      </c>
      <c r="D30" s="34">
        <f>D31+D32+D33+D41+D42+D48+D49+D50+D47</f>
        <v>171532</v>
      </c>
      <c r="E30" s="13">
        <f>IF(C30=D30,"-",D30-C30)</f>
        <v>-51</v>
      </c>
      <c r="F30" s="91">
        <f t="shared" si="1"/>
        <v>0.9997</v>
      </c>
      <c r="H30" s="197"/>
    </row>
    <row r="31" spans="1:8" ht="28.5" customHeight="1">
      <c r="A31" s="42" t="s">
        <v>19</v>
      </c>
      <c r="B31" s="51" t="s">
        <v>20</v>
      </c>
      <c r="C31" s="35">
        <v>2196</v>
      </c>
      <c r="D31" s="35">
        <f>C31-30</f>
        <v>2166</v>
      </c>
      <c r="E31" s="89">
        <f aca="true" t="shared" si="3" ref="E31:E51">IF(C31=D31,"-",D31-C31)</f>
        <v>-30</v>
      </c>
      <c r="F31" s="90">
        <f t="shared" si="1"/>
        <v>0.9863</v>
      </c>
      <c r="H31" s="197"/>
    </row>
    <row r="32" spans="1:8" ht="28.5" customHeight="1">
      <c r="A32" s="42" t="s">
        <v>21</v>
      </c>
      <c r="B32" s="51" t="s">
        <v>22</v>
      </c>
      <c r="C32" s="35">
        <v>64037</v>
      </c>
      <c r="D32" s="35">
        <f>C32-1</f>
        <v>64036</v>
      </c>
      <c r="E32" s="89">
        <f t="shared" si="3"/>
        <v>-1</v>
      </c>
      <c r="F32" s="90">
        <f t="shared" si="1"/>
        <v>1</v>
      </c>
      <c r="H32" s="197"/>
    </row>
    <row r="33" spans="1:8" ht="28.5" customHeight="1">
      <c r="A33" s="42" t="s">
        <v>23</v>
      </c>
      <c r="B33" s="52" t="s">
        <v>37</v>
      </c>
      <c r="C33" s="35">
        <f>C34+C36+C37+C38+C39+C40</f>
        <v>328</v>
      </c>
      <c r="D33" s="35">
        <f>D34+D36+D37+D38+D39+D40</f>
        <v>328</v>
      </c>
      <c r="E33" s="89" t="str">
        <f t="shared" si="3"/>
        <v>-</v>
      </c>
      <c r="F33" s="90">
        <f t="shared" si="1"/>
        <v>1</v>
      </c>
      <c r="H33" s="197"/>
    </row>
    <row r="34" spans="1:8" ht="28.5" customHeight="1">
      <c r="A34" s="53" t="s">
        <v>45</v>
      </c>
      <c r="B34" s="54" t="s">
        <v>38</v>
      </c>
      <c r="C34" s="35">
        <v>30</v>
      </c>
      <c r="D34" s="35">
        <f>C34</f>
        <v>30</v>
      </c>
      <c r="E34" s="89" t="str">
        <f t="shared" si="3"/>
        <v>-</v>
      </c>
      <c r="F34" s="90">
        <f t="shared" si="1"/>
        <v>1</v>
      </c>
      <c r="H34" s="197"/>
    </row>
    <row r="35" spans="1:8" ht="28.5" customHeight="1">
      <c r="A35" s="53" t="s">
        <v>46</v>
      </c>
      <c r="B35" s="55" t="s">
        <v>39</v>
      </c>
      <c r="C35" s="35">
        <v>30</v>
      </c>
      <c r="D35" s="35">
        <f aca="true" t="shared" si="4" ref="D35:D40">C35</f>
        <v>30</v>
      </c>
      <c r="E35" s="89" t="str">
        <f t="shared" si="3"/>
        <v>-</v>
      </c>
      <c r="F35" s="90">
        <f t="shared" si="1"/>
        <v>1</v>
      </c>
      <c r="H35" s="197"/>
    </row>
    <row r="36" spans="1:8" ht="28.5" customHeight="1">
      <c r="A36" s="53" t="s">
        <v>47</v>
      </c>
      <c r="B36" s="54" t="s">
        <v>40</v>
      </c>
      <c r="C36" s="35">
        <v>29</v>
      </c>
      <c r="D36" s="35">
        <f t="shared" si="4"/>
        <v>29</v>
      </c>
      <c r="E36" s="89" t="str">
        <f t="shared" si="3"/>
        <v>-</v>
      </c>
      <c r="F36" s="90">
        <f t="shared" si="1"/>
        <v>1</v>
      </c>
      <c r="H36" s="197"/>
    </row>
    <row r="37" spans="1:8" ht="28.5" customHeight="1">
      <c r="A37" s="53" t="s">
        <v>48</v>
      </c>
      <c r="B37" s="54" t="s">
        <v>41</v>
      </c>
      <c r="C37" s="35">
        <v>2</v>
      </c>
      <c r="D37" s="35">
        <f t="shared" si="4"/>
        <v>2</v>
      </c>
      <c r="E37" s="89" t="str">
        <f t="shared" si="3"/>
        <v>-</v>
      </c>
      <c r="F37" s="90">
        <f t="shared" si="1"/>
        <v>1</v>
      </c>
      <c r="H37" s="197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97"/>
    </row>
    <row r="39" spans="1:8" ht="28.5" customHeight="1">
      <c r="A39" s="53" t="s">
        <v>50</v>
      </c>
      <c r="B39" s="54" t="s">
        <v>43</v>
      </c>
      <c r="C39" s="35">
        <v>257</v>
      </c>
      <c r="D39" s="35">
        <f t="shared" si="4"/>
        <v>257</v>
      </c>
      <c r="E39" s="89" t="str">
        <f t="shared" si="3"/>
        <v>-</v>
      </c>
      <c r="F39" s="90">
        <f t="shared" si="1"/>
        <v>1</v>
      </c>
      <c r="H39" s="197"/>
    </row>
    <row r="40" spans="1:8" ht="28.5" customHeight="1">
      <c r="A40" s="53" t="s">
        <v>51</v>
      </c>
      <c r="B40" s="54" t="s">
        <v>44</v>
      </c>
      <c r="C40" s="35">
        <v>10</v>
      </c>
      <c r="D40" s="35">
        <f t="shared" si="4"/>
        <v>10</v>
      </c>
      <c r="E40" s="89" t="str">
        <f t="shared" si="3"/>
        <v>-</v>
      </c>
      <c r="F40" s="90">
        <f t="shared" si="1"/>
        <v>1</v>
      </c>
      <c r="H40" s="197"/>
    </row>
    <row r="41" spans="1:8" ht="28.5" customHeight="1">
      <c r="A41" s="42" t="s">
        <v>24</v>
      </c>
      <c r="B41" s="51" t="s">
        <v>25</v>
      </c>
      <c r="C41" s="35">
        <v>30165</v>
      </c>
      <c r="D41" s="35">
        <f>C41-20</f>
        <v>30145</v>
      </c>
      <c r="E41" s="89">
        <f t="shared" si="3"/>
        <v>-20</v>
      </c>
      <c r="F41" s="90">
        <f t="shared" si="1"/>
        <v>0.9993</v>
      </c>
      <c r="H41" s="197"/>
    </row>
    <row r="42" spans="1:8" ht="28.5" customHeight="1">
      <c r="A42" s="42" t="s">
        <v>26</v>
      </c>
      <c r="B42" s="52" t="s">
        <v>61</v>
      </c>
      <c r="C42" s="35">
        <f>SUM(C43:C46)</f>
        <v>7163</v>
      </c>
      <c r="D42" s="35">
        <f>SUM(D43:D46)</f>
        <v>7163</v>
      </c>
      <c r="E42" s="89" t="str">
        <f t="shared" si="3"/>
        <v>-</v>
      </c>
      <c r="F42" s="90">
        <f t="shared" si="1"/>
        <v>1</v>
      </c>
      <c r="H42" s="197"/>
    </row>
    <row r="43" spans="1:8" ht="28.5" customHeight="1">
      <c r="A43" s="53" t="s">
        <v>56</v>
      </c>
      <c r="B43" s="54" t="s">
        <v>52</v>
      </c>
      <c r="C43" s="35">
        <v>4570</v>
      </c>
      <c r="D43" s="35">
        <f aca="true" t="shared" si="5" ref="D43:D50">C43</f>
        <v>4570</v>
      </c>
      <c r="E43" s="89" t="str">
        <f t="shared" si="3"/>
        <v>-</v>
      </c>
      <c r="F43" s="90">
        <f t="shared" si="1"/>
        <v>1</v>
      </c>
      <c r="H43" s="197"/>
    </row>
    <row r="44" spans="1:8" ht="28.5" customHeight="1">
      <c r="A44" s="53" t="s">
        <v>57</v>
      </c>
      <c r="B44" s="54" t="s">
        <v>53</v>
      </c>
      <c r="C44" s="35">
        <v>737</v>
      </c>
      <c r="D44" s="35">
        <f t="shared" si="5"/>
        <v>737</v>
      </c>
      <c r="E44" s="89" t="str">
        <f t="shared" si="3"/>
        <v>-</v>
      </c>
      <c r="F44" s="90">
        <f t="shared" si="1"/>
        <v>1</v>
      </c>
      <c r="H44" s="197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3"/>
        <v>-</v>
      </c>
      <c r="F45" s="90" t="str">
        <f t="shared" si="1"/>
        <v>-</v>
      </c>
      <c r="H45" s="197"/>
    </row>
    <row r="46" spans="1:8" ht="28.5" customHeight="1">
      <c r="A46" s="53" t="s">
        <v>59</v>
      </c>
      <c r="B46" s="54" t="s">
        <v>55</v>
      </c>
      <c r="C46" s="35">
        <v>1856</v>
      </c>
      <c r="D46" s="35">
        <f t="shared" si="5"/>
        <v>1856</v>
      </c>
      <c r="E46" s="89" t="str">
        <f t="shared" si="3"/>
        <v>-</v>
      </c>
      <c r="F46" s="90">
        <f t="shared" si="1"/>
        <v>1</v>
      </c>
      <c r="H46" s="197"/>
    </row>
    <row r="47" spans="1:8" ht="28.5" customHeight="1">
      <c r="A47" s="42" t="s">
        <v>27</v>
      </c>
      <c r="B47" s="51" t="s">
        <v>28</v>
      </c>
      <c r="C47" s="35">
        <v>200</v>
      </c>
      <c r="D47" s="35">
        <f t="shared" si="5"/>
        <v>200</v>
      </c>
      <c r="E47" s="89" t="str">
        <f t="shared" si="3"/>
        <v>-</v>
      </c>
      <c r="F47" s="90">
        <f aca="true" t="shared" si="6" ref="F47:F56">IF(C47=0,"-",D47/C47)</f>
        <v>1</v>
      </c>
      <c r="H47" s="197"/>
    </row>
    <row r="48" spans="1:8" ht="48" customHeight="1">
      <c r="A48" s="42" t="s">
        <v>29</v>
      </c>
      <c r="B48" s="51" t="s">
        <v>116</v>
      </c>
      <c r="C48" s="36">
        <v>65789</v>
      </c>
      <c r="D48" s="35">
        <f t="shared" si="5"/>
        <v>65789</v>
      </c>
      <c r="E48" s="89" t="str">
        <f t="shared" si="3"/>
        <v>-</v>
      </c>
      <c r="F48" s="92">
        <f t="shared" si="6"/>
        <v>1</v>
      </c>
      <c r="H48" s="197"/>
    </row>
    <row r="49" spans="1:8" ht="43.5" customHeight="1">
      <c r="A49" s="42" t="s">
        <v>30</v>
      </c>
      <c r="B49" s="51" t="s">
        <v>31</v>
      </c>
      <c r="C49" s="36">
        <v>593</v>
      </c>
      <c r="D49" s="35">
        <f t="shared" si="5"/>
        <v>593</v>
      </c>
      <c r="E49" s="89" t="str">
        <f t="shared" si="3"/>
        <v>-</v>
      </c>
      <c r="F49" s="92">
        <f t="shared" si="6"/>
        <v>1</v>
      </c>
      <c r="H49" s="197"/>
    </row>
    <row r="50" spans="1:8" ht="35.25" customHeight="1">
      <c r="A50" s="42" t="s">
        <v>32</v>
      </c>
      <c r="B50" s="51" t="s">
        <v>33</v>
      </c>
      <c r="C50" s="35">
        <v>1112</v>
      </c>
      <c r="D50" s="35">
        <f t="shared" si="5"/>
        <v>1112</v>
      </c>
      <c r="E50" s="89" t="str">
        <f t="shared" si="3"/>
        <v>-</v>
      </c>
      <c r="F50" s="90">
        <f t="shared" si="6"/>
        <v>1</v>
      </c>
      <c r="H50" s="197"/>
    </row>
    <row r="51" spans="1:8" s="3" customFormat="1" ht="30" customHeight="1">
      <c r="A51" s="44" t="s">
        <v>34</v>
      </c>
      <c r="B51" s="56" t="s">
        <v>176</v>
      </c>
      <c r="C51" s="38">
        <v>872</v>
      </c>
      <c r="D51" s="38">
        <f>SUM(D52:D55)</f>
        <v>67946</v>
      </c>
      <c r="E51" s="13">
        <f t="shared" si="3"/>
        <v>67074</v>
      </c>
      <c r="F51" s="119">
        <f t="shared" si="6"/>
        <v>77.9197</v>
      </c>
      <c r="H51" s="197"/>
    </row>
    <row r="52" spans="1:8" ht="42" customHeight="1">
      <c r="A52" s="42" t="s">
        <v>119</v>
      </c>
      <c r="B52" s="51" t="s">
        <v>144</v>
      </c>
      <c r="C52" s="35">
        <v>0</v>
      </c>
      <c r="D52" s="35">
        <f>C52</f>
        <v>0</v>
      </c>
      <c r="E52" s="94" t="str">
        <f>IF(C52=D52,"-",D52-C52)</f>
        <v>-</v>
      </c>
      <c r="F52" s="90" t="str">
        <f t="shared" si="6"/>
        <v>-</v>
      </c>
      <c r="H52" s="197"/>
    </row>
    <row r="53" spans="1:8" ht="31.5" customHeight="1">
      <c r="A53" s="42" t="s">
        <v>35</v>
      </c>
      <c r="B53" s="51" t="s">
        <v>63</v>
      </c>
      <c r="C53" s="35">
        <v>600</v>
      </c>
      <c r="D53" s="35">
        <f>C53</f>
        <v>600</v>
      </c>
      <c r="E53" s="94" t="str">
        <f>IF(C53=D53,"-",D53-C53)</f>
        <v>-</v>
      </c>
      <c r="F53" s="90">
        <f t="shared" si="6"/>
        <v>1</v>
      </c>
      <c r="H53" s="197"/>
    </row>
    <row r="54" spans="1:8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90" t="str">
        <f t="shared" si="6"/>
        <v>-</v>
      </c>
      <c r="H54" s="197"/>
    </row>
    <row r="55" spans="1:8" ht="31.5" customHeight="1">
      <c r="A55" s="42" t="s">
        <v>120</v>
      </c>
      <c r="B55" s="51" t="s">
        <v>122</v>
      </c>
      <c r="C55" s="35">
        <v>272</v>
      </c>
      <c r="D55" s="35">
        <f>C55+67074</f>
        <v>67346</v>
      </c>
      <c r="E55" s="94">
        <f>IF(C55=D55,"-",D55-C55)</f>
        <v>67074</v>
      </c>
      <c r="F55" s="90">
        <f t="shared" si="6"/>
        <v>247.5956</v>
      </c>
      <c r="H55" s="197"/>
    </row>
    <row r="56" spans="1:8" ht="32.25" customHeight="1">
      <c r="A56" s="44" t="s">
        <v>127</v>
      </c>
      <c r="B56" s="56" t="s">
        <v>155</v>
      </c>
      <c r="C56" s="38">
        <v>38126</v>
      </c>
      <c r="D56" s="38">
        <f>C56-22626</f>
        <v>15500</v>
      </c>
      <c r="E56" s="13">
        <f>IF(C56=D56,"-",D56-C56)</f>
        <v>-22626</v>
      </c>
      <c r="F56" s="93">
        <f t="shared" si="6"/>
        <v>0.4065</v>
      </c>
      <c r="H56" s="197"/>
    </row>
  </sheetData>
  <sheetProtection/>
  <mergeCells count="8">
    <mergeCell ref="A1:F1"/>
    <mergeCell ref="E4:E5"/>
    <mergeCell ref="F4:F5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BG57"/>
  <sheetViews>
    <sheetView zoomScale="70" zoomScaleNormal="70" zoomScalePageLayoutView="0" workbookViewId="0" topLeftCell="A1">
      <pane xSplit="2" ySplit="6" topLeftCell="I51" activePane="bottomRight" state="frozen"/>
      <selection pane="topLeft" activeCell="G25" sqref="G25"/>
      <selection pane="topRight" activeCell="G25" sqref="G25"/>
      <selection pane="bottomLeft" activeCell="G25" sqref="G25"/>
      <selection pane="bottomRight" activeCell="J53" sqref="J53"/>
    </sheetView>
  </sheetViews>
  <sheetFormatPr defaultColWidth="9.00390625" defaultRowHeight="12.75"/>
  <cols>
    <col min="1" max="1" width="8.00390625" style="2" customWidth="1"/>
    <col min="2" max="2" width="64.25390625" style="2" customWidth="1"/>
    <col min="3" max="8" width="14.00390625" style="2" customWidth="1"/>
    <col min="9" max="59" width="14.625" style="2" customWidth="1"/>
    <col min="60" max="16384" width="9.125" style="2" customWidth="1"/>
  </cols>
  <sheetData>
    <row r="1" spans="1:18" s="59" customFormat="1" ht="66" customHeight="1">
      <c r="A1" s="213" t="str">
        <f>'[4]NFZ'!A1</f>
        <v>PROJEKT ZMIANY PLANU FINANSOWEGO NARODOWEGO FUNDUSZU ZDROWIA NA 2009 ROK Z 23 WRZEŚNIA 2009 R.</v>
      </c>
      <c r="B1" s="213"/>
      <c r="C1" s="121"/>
      <c r="D1" s="121"/>
      <c r="E1" s="121"/>
      <c r="F1" s="121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</row>
    <row r="2" spans="1:9" s="61" customFormat="1" ht="9.75" customHeight="1">
      <c r="A2" s="123"/>
      <c r="B2" s="123"/>
      <c r="C2" s="123"/>
      <c r="D2" s="123"/>
      <c r="E2" s="123"/>
      <c r="F2" s="123"/>
      <c r="G2" s="123"/>
      <c r="H2" s="120"/>
      <c r="I2" s="120"/>
    </row>
    <row r="3" spans="1:18" ht="9.75" customHeight="1" thickBot="1">
      <c r="A3" s="1"/>
      <c r="B3" s="87"/>
      <c r="C3" s="87"/>
      <c r="D3" s="87"/>
      <c r="E3" s="87"/>
      <c r="F3" s="87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59" s="124" customFormat="1" ht="34.5" customHeight="1" thickTop="1">
      <c r="A4" s="214" t="s">
        <v>166</v>
      </c>
      <c r="B4" s="214" t="s">
        <v>62</v>
      </c>
      <c r="C4" s="210" t="s">
        <v>241</v>
      </c>
      <c r="D4" s="211"/>
      <c r="E4" s="212"/>
      <c r="F4" s="210" t="s">
        <v>202</v>
      </c>
      <c r="G4" s="211"/>
      <c r="H4" s="212"/>
      <c r="I4" s="210" t="s">
        <v>203</v>
      </c>
      <c r="J4" s="211"/>
      <c r="K4" s="212"/>
      <c r="L4" s="210" t="s">
        <v>204</v>
      </c>
      <c r="M4" s="211"/>
      <c r="N4" s="212"/>
      <c r="O4" s="210" t="s">
        <v>205</v>
      </c>
      <c r="P4" s="211"/>
      <c r="Q4" s="212"/>
      <c r="R4" s="210" t="s">
        <v>206</v>
      </c>
      <c r="S4" s="211"/>
      <c r="T4" s="212"/>
      <c r="U4" s="210" t="s">
        <v>207</v>
      </c>
      <c r="V4" s="211"/>
      <c r="W4" s="212"/>
      <c r="X4" s="210" t="s">
        <v>208</v>
      </c>
      <c r="Y4" s="211"/>
      <c r="Z4" s="212"/>
      <c r="AA4" s="210" t="s">
        <v>209</v>
      </c>
      <c r="AB4" s="211"/>
      <c r="AC4" s="212"/>
      <c r="AD4" s="210" t="s">
        <v>210</v>
      </c>
      <c r="AE4" s="211"/>
      <c r="AF4" s="212"/>
      <c r="AG4" s="210" t="s">
        <v>211</v>
      </c>
      <c r="AH4" s="211"/>
      <c r="AI4" s="212"/>
      <c r="AJ4" s="210" t="s">
        <v>212</v>
      </c>
      <c r="AK4" s="211"/>
      <c r="AL4" s="212"/>
      <c r="AM4" s="210" t="s">
        <v>213</v>
      </c>
      <c r="AN4" s="211"/>
      <c r="AO4" s="212"/>
      <c r="AP4" s="210" t="s">
        <v>214</v>
      </c>
      <c r="AQ4" s="211"/>
      <c r="AR4" s="212"/>
      <c r="AS4" s="210" t="s">
        <v>215</v>
      </c>
      <c r="AT4" s="211"/>
      <c r="AU4" s="212"/>
      <c r="AV4" s="210" t="s">
        <v>216</v>
      </c>
      <c r="AW4" s="211"/>
      <c r="AX4" s="212"/>
      <c r="AY4" s="210" t="s">
        <v>217</v>
      </c>
      <c r="AZ4" s="211"/>
      <c r="BA4" s="212"/>
      <c r="BB4" s="210" t="s">
        <v>218</v>
      </c>
      <c r="BC4" s="211"/>
      <c r="BD4" s="212"/>
      <c r="BE4" s="210" t="s">
        <v>219</v>
      </c>
      <c r="BF4" s="211"/>
      <c r="BG4" s="212"/>
    </row>
    <row r="5" spans="1:59" s="105" customFormat="1" ht="45.75" customHeight="1">
      <c r="A5" s="215"/>
      <c r="B5" s="215"/>
      <c r="C5" s="125" t="s">
        <v>242</v>
      </c>
      <c r="D5" s="126" t="s">
        <v>243</v>
      </c>
      <c r="E5" s="127" t="s">
        <v>244</v>
      </c>
      <c r="F5" s="125" t="s">
        <v>242</v>
      </c>
      <c r="G5" s="126" t="s">
        <v>243</v>
      </c>
      <c r="H5" s="127" t="s">
        <v>244</v>
      </c>
      <c r="I5" s="125" t="s">
        <v>242</v>
      </c>
      <c r="J5" s="126" t="s">
        <v>243</v>
      </c>
      <c r="K5" s="127" t="s">
        <v>244</v>
      </c>
      <c r="L5" s="125" t="s">
        <v>242</v>
      </c>
      <c r="M5" s="126" t="s">
        <v>243</v>
      </c>
      <c r="N5" s="127" t="s">
        <v>244</v>
      </c>
      <c r="O5" s="125" t="s">
        <v>242</v>
      </c>
      <c r="P5" s="126" t="s">
        <v>243</v>
      </c>
      <c r="Q5" s="127" t="s">
        <v>244</v>
      </c>
      <c r="R5" s="125" t="s">
        <v>242</v>
      </c>
      <c r="S5" s="126" t="s">
        <v>243</v>
      </c>
      <c r="T5" s="127" t="s">
        <v>244</v>
      </c>
      <c r="U5" s="125" t="s">
        <v>242</v>
      </c>
      <c r="V5" s="126" t="s">
        <v>243</v>
      </c>
      <c r="W5" s="127" t="s">
        <v>244</v>
      </c>
      <c r="X5" s="125" t="s">
        <v>242</v>
      </c>
      <c r="Y5" s="126" t="s">
        <v>243</v>
      </c>
      <c r="Z5" s="127" t="s">
        <v>244</v>
      </c>
      <c r="AA5" s="125" t="s">
        <v>242</v>
      </c>
      <c r="AB5" s="126" t="s">
        <v>243</v>
      </c>
      <c r="AC5" s="127" t="s">
        <v>244</v>
      </c>
      <c r="AD5" s="125" t="s">
        <v>242</v>
      </c>
      <c r="AE5" s="126" t="s">
        <v>243</v>
      </c>
      <c r="AF5" s="127" t="s">
        <v>244</v>
      </c>
      <c r="AG5" s="125" t="s">
        <v>242</v>
      </c>
      <c r="AH5" s="126" t="s">
        <v>243</v>
      </c>
      <c r="AI5" s="127" t="s">
        <v>244</v>
      </c>
      <c r="AJ5" s="125" t="s">
        <v>242</v>
      </c>
      <c r="AK5" s="126" t="s">
        <v>243</v>
      </c>
      <c r="AL5" s="127" t="s">
        <v>244</v>
      </c>
      <c r="AM5" s="125" t="s">
        <v>242</v>
      </c>
      <c r="AN5" s="126" t="s">
        <v>243</v>
      </c>
      <c r="AO5" s="127" t="s">
        <v>244</v>
      </c>
      <c r="AP5" s="125" t="s">
        <v>242</v>
      </c>
      <c r="AQ5" s="126" t="s">
        <v>243</v>
      </c>
      <c r="AR5" s="127" t="s">
        <v>244</v>
      </c>
      <c r="AS5" s="125" t="s">
        <v>242</v>
      </c>
      <c r="AT5" s="126" t="s">
        <v>243</v>
      </c>
      <c r="AU5" s="127" t="s">
        <v>244</v>
      </c>
      <c r="AV5" s="125" t="s">
        <v>242</v>
      </c>
      <c r="AW5" s="126" t="s">
        <v>243</v>
      </c>
      <c r="AX5" s="127" t="s">
        <v>244</v>
      </c>
      <c r="AY5" s="125" t="s">
        <v>242</v>
      </c>
      <c r="AZ5" s="126" t="s">
        <v>243</v>
      </c>
      <c r="BA5" s="127" t="s">
        <v>244</v>
      </c>
      <c r="BB5" s="125" t="s">
        <v>242</v>
      </c>
      <c r="BC5" s="126" t="s">
        <v>243</v>
      </c>
      <c r="BD5" s="127" t="s">
        <v>244</v>
      </c>
      <c r="BE5" s="125" t="s">
        <v>242</v>
      </c>
      <c r="BF5" s="126" t="s">
        <v>243</v>
      </c>
      <c r="BG5" s="127" t="s">
        <v>244</v>
      </c>
    </row>
    <row r="6" spans="1:59" s="4" customFormat="1" ht="14.25" customHeight="1">
      <c r="A6" s="128" t="s">
        <v>220</v>
      </c>
      <c r="B6" s="128" t="s">
        <v>221</v>
      </c>
      <c r="C6" s="129" t="s">
        <v>222</v>
      </c>
      <c r="D6" s="31" t="s">
        <v>223</v>
      </c>
      <c r="E6" s="130" t="s">
        <v>224</v>
      </c>
      <c r="F6" s="129" t="s">
        <v>225</v>
      </c>
      <c r="G6" s="31" t="s">
        <v>226</v>
      </c>
      <c r="H6" s="130" t="s">
        <v>227</v>
      </c>
      <c r="I6" s="129" t="s">
        <v>228</v>
      </c>
      <c r="J6" s="31" t="s">
        <v>229</v>
      </c>
      <c r="K6" s="130" t="s">
        <v>230</v>
      </c>
      <c r="L6" s="129" t="s">
        <v>231</v>
      </c>
      <c r="M6" s="31" t="s">
        <v>232</v>
      </c>
      <c r="N6" s="130" t="s">
        <v>233</v>
      </c>
      <c r="O6" s="129" t="s">
        <v>234</v>
      </c>
      <c r="P6" s="31" t="s">
        <v>235</v>
      </c>
      <c r="Q6" s="130" t="s">
        <v>236</v>
      </c>
      <c r="R6" s="129" t="s">
        <v>237</v>
      </c>
      <c r="S6" s="31" t="s">
        <v>238</v>
      </c>
      <c r="T6" s="130" t="s">
        <v>239</v>
      </c>
      <c r="U6" s="129" t="s">
        <v>245</v>
      </c>
      <c r="V6" s="31" t="s">
        <v>246</v>
      </c>
      <c r="W6" s="130" t="s">
        <v>247</v>
      </c>
      <c r="X6" s="129" t="s">
        <v>248</v>
      </c>
      <c r="Y6" s="31" t="s">
        <v>249</v>
      </c>
      <c r="Z6" s="130" t="s">
        <v>250</v>
      </c>
      <c r="AA6" s="129" t="s">
        <v>251</v>
      </c>
      <c r="AB6" s="31" t="s">
        <v>252</v>
      </c>
      <c r="AC6" s="130" t="s">
        <v>253</v>
      </c>
      <c r="AD6" s="129" t="s">
        <v>254</v>
      </c>
      <c r="AE6" s="31" t="s">
        <v>255</v>
      </c>
      <c r="AF6" s="130" t="s">
        <v>256</v>
      </c>
      <c r="AG6" s="129" t="s">
        <v>257</v>
      </c>
      <c r="AH6" s="31" t="s">
        <v>258</v>
      </c>
      <c r="AI6" s="130" t="s">
        <v>259</v>
      </c>
      <c r="AJ6" s="129" t="s">
        <v>260</v>
      </c>
      <c r="AK6" s="31" t="s">
        <v>261</v>
      </c>
      <c r="AL6" s="130" t="s">
        <v>262</v>
      </c>
      <c r="AM6" s="129" t="s">
        <v>263</v>
      </c>
      <c r="AN6" s="31" t="s">
        <v>264</v>
      </c>
      <c r="AO6" s="130" t="s">
        <v>265</v>
      </c>
      <c r="AP6" s="129" t="s">
        <v>266</v>
      </c>
      <c r="AQ6" s="31" t="s">
        <v>267</v>
      </c>
      <c r="AR6" s="130" t="s">
        <v>268</v>
      </c>
      <c r="AS6" s="129" t="s">
        <v>269</v>
      </c>
      <c r="AT6" s="31" t="s">
        <v>270</v>
      </c>
      <c r="AU6" s="130" t="s">
        <v>271</v>
      </c>
      <c r="AV6" s="129" t="s">
        <v>272</v>
      </c>
      <c r="AW6" s="31" t="s">
        <v>273</v>
      </c>
      <c r="AX6" s="130" t="s">
        <v>274</v>
      </c>
      <c r="AY6" s="129" t="s">
        <v>275</v>
      </c>
      <c r="AZ6" s="31" t="s">
        <v>276</v>
      </c>
      <c r="BA6" s="130" t="s">
        <v>277</v>
      </c>
      <c r="BB6" s="129" t="s">
        <v>278</v>
      </c>
      <c r="BC6" s="31" t="s">
        <v>279</v>
      </c>
      <c r="BD6" s="130" t="s">
        <v>280</v>
      </c>
      <c r="BE6" s="129" t="s">
        <v>281</v>
      </c>
      <c r="BF6" s="31" t="s">
        <v>282</v>
      </c>
      <c r="BG6" s="130" t="s">
        <v>283</v>
      </c>
    </row>
    <row r="7" spans="1:59" s="3" customFormat="1" ht="40.5" hidden="1">
      <c r="A7" s="131" t="s">
        <v>0</v>
      </c>
      <c r="B7" s="132" t="s">
        <v>143</v>
      </c>
      <c r="C7" s="133"/>
      <c r="D7" s="50"/>
      <c r="E7" s="134"/>
      <c r="F7" s="133"/>
      <c r="G7" s="109">
        <f>'[4]CENTRALA'!E7</f>
        <v>-176230</v>
      </c>
      <c r="H7" s="135"/>
      <c r="I7" s="136"/>
      <c r="J7" s="109">
        <f>J8+J9+J10+J12+J13+J14+J15+J16+J17+J18+J19+J20+J21+J22+J24+J25+J26+J27</f>
        <v>0</v>
      </c>
      <c r="K7" s="135"/>
      <c r="L7" s="136"/>
      <c r="M7" s="109" t="str">
        <f>'[4]Dolnośląski'!E7</f>
        <v>-</v>
      </c>
      <c r="N7" s="135"/>
      <c r="O7" s="136"/>
      <c r="P7" s="109" t="str">
        <f>'[4]KujawskoPomorski'!E7</f>
        <v>-</v>
      </c>
      <c r="Q7" s="135"/>
      <c r="R7" s="136"/>
      <c r="S7" s="109" t="str">
        <f>'[4]Lubelski'!E7</f>
        <v>-</v>
      </c>
      <c r="T7" s="135"/>
      <c r="U7" s="136"/>
      <c r="V7" s="109" t="str">
        <f>'[4]Lubuski'!E7</f>
        <v>-</v>
      </c>
      <c r="W7" s="135"/>
      <c r="X7" s="136"/>
      <c r="Y7" s="109" t="str">
        <f>'[4]Łódzki'!E7</f>
        <v>-</v>
      </c>
      <c r="Z7" s="135"/>
      <c r="AA7" s="136"/>
      <c r="AB7" s="109" t="str">
        <f>'[4]Małopolski'!E7</f>
        <v>-</v>
      </c>
      <c r="AC7" s="135"/>
      <c r="AD7" s="136"/>
      <c r="AE7" s="109" t="str">
        <f>'[4]Mazowiecki'!E7</f>
        <v>-</v>
      </c>
      <c r="AF7" s="135"/>
      <c r="AG7" s="136"/>
      <c r="AH7" s="109" t="str">
        <f>'[4]Opolski'!E7</f>
        <v>-</v>
      </c>
      <c r="AI7" s="135"/>
      <c r="AJ7" s="136"/>
      <c r="AK7" s="109" t="str">
        <f>'[4]Podkarpacki'!E7</f>
        <v>-</v>
      </c>
      <c r="AL7" s="135"/>
      <c r="AM7" s="136"/>
      <c r="AN7" s="109" t="str">
        <f>'[4]Podlaski'!E7</f>
        <v>-</v>
      </c>
      <c r="AO7" s="135"/>
      <c r="AP7" s="136"/>
      <c r="AQ7" s="109" t="str">
        <f>'[4]Pomorski'!E7</f>
        <v>-</v>
      </c>
      <c r="AR7" s="135"/>
      <c r="AS7" s="136"/>
      <c r="AT7" s="109" t="str">
        <f>'[4]Śląski'!E7</f>
        <v>-</v>
      </c>
      <c r="AU7" s="135"/>
      <c r="AV7" s="136"/>
      <c r="AW7" s="109" t="str">
        <f>'[4]Świętokrzyski'!E7</f>
        <v>-</v>
      </c>
      <c r="AX7" s="135"/>
      <c r="AY7" s="136"/>
      <c r="AZ7" s="109" t="str">
        <f>'[4]WarmińskoMazurski'!E7</f>
        <v>-</v>
      </c>
      <c r="BA7" s="135"/>
      <c r="BB7" s="136"/>
      <c r="BC7" s="109" t="str">
        <f>'[4]Wielkopolski'!E7</f>
        <v>-</v>
      </c>
      <c r="BD7" s="135"/>
      <c r="BE7" s="136"/>
      <c r="BF7" s="109" t="str">
        <f>'[4]Zachodniopomorski'!E7</f>
        <v>-</v>
      </c>
      <c r="BG7" s="135"/>
    </row>
    <row r="8" spans="1:59" ht="20.25" hidden="1">
      <c r="A8" s="137" t="s">
        <v>1</v>
      </c>
      <c r="B8" s="138" t="s">
        <v>167</v>
      </c>
      <c r="C8" s="139"/>
      <c r="D8" s="102"/>
      <c r="E8" s="140"/>
      <c r="F8" s="139"/>
      <c r="G8" s="111" t="str">
        <f>'[4]CENTRALA'!E8</f>
        <v>-</v>
      </c>
      <c r="H8" s="141"/>
      <c r="I8" s="142"/>
      <c r="J8" s="107">
        <f>SUM(M8:BF8)</f>
        <v>0</v>
      </c>
      <c r="K8" s="143"/>
      <c r="L8" s="144"/>
      <c r="M8" s="106" t="str">
        <f>'[4]Dolnośląski'!E8</f>
        <v>-</v>
      </c>
      <c r="N8" s="145"/>
      <c r="O8" s="146"/>
      <c r="P8" s="106" t="str">
        <f>'[4]KujawskoPomorski'!E8</f>
        <v>-</v>
      </c>
      <c r="Q8" s="145"/>
      <c r="R8" s="146"/>
      <c r="S8" s="106" t="str">
        <f>'[4]Lubelski'!E8</f>
        <v>-</v>
      </c>
      <c r="T8" s="145"/>
      <c r="U8" s="146"/>
      <c r="V8" s="106" t="str">
        <f>'[4]Lubuski'!E8</f>
        <v>-</v>
      </c>
      <c r="W8" s="145"/>
      <c r="X8" s="146"/>
      <c r="Y8" s="106" t="str">
        <f>'[4]Łódzki'!E8</f>
        <v>-</v>
      </c>
      <c r="Z8" s="145"/>
      <c r="AA8" s="146"/>
      <c r="AB8" s="106" t="str">
        <f>'[4]Małopolski'!E8</f>
        <v>-</v>
      </c>
      <c r="AC8" s="145"/>
      <c r="AD8" s="146"/>
      <c r="AE8" s="106" t="str">
        <f>'[4]Mazowiecki'!E8</f>
        <v>-</v>
      </c>
      <c r="AF8" s="145"/>
      <c r="AG8" s="146"/>
      <c r="AH8" s="106" t="str">
        <f>'[4]Opolski'!E8</f>
        <v>-</v>
      </c>
      <c r="AI8" s="145"/>
      <c r="AJ8" s="146"/>
      <c r="AK8" s="106" t="str">
        <f>'[4]Podkarpacki'!E8</f>
        <v>-</v>
      </c>
      <c r="AL8" s="145"/>
      <c r="AM8" s="146"/>
      <c r="AN8" s="106" t="str">
        <f>'[4]Podlaski'!E8</f>
        <v>-</v>
      </c>
      <c r="AO8" s="145"/>
      <c r="AP8" s="146"/>
      <c r="AQ8" s="106" t="str">
        <f>'[4]Pomorski'!E8</f>
        <v>-</v>
      </c>
      <c r="AR8" s="145"/>
      <c r="AS8" s="146"/>
      <c r="AT8" s="106" t="str">
        <f>'[4]Śląski'!E8</f>
        <v>-</v>
      </c>
      <c r="AU8" s="145"/>
      <c r="AV8" s="146"/>
      <c r="AW8" s="106" t="str">
        <f>'[4]Świętokrzyski'!E8</f>
        <v>-</v>
      </c>
      <c r="AX8" s="145"/>
      <c r="AY8" s="146"/>
      <c r="AZ8" s="106" t="str">
        <f>'[4]WarmińskoMazurski'!E8</f>
        <v>-</v>
      </c>
      <c r="BA8" s="145"/>
      <c r="BB8" s="146"/>
      <c r="BC8" s="106" t="str">
        <f>'[4]Wielkopolski'!E8</f>
        <v>-</v>
      </c>
      <c r="BD8" s="145"/>
      <c r="BE8" s="146"/>
      <c r="BF8" s="106" t="str">
        <f>'[4]Zachodniopomorski'!E8</f>
        <v>-</v>
      </c>
      <c r="BG8" s="145"/>
    </row>
    <row r="9" spans="1:59" ht="20.25" hidden="1">
      <c r="A9" s="137" t="s">
        <v>2</v>
      </c>
      <c r="B9" s="138" t="s">
        <v>168</v>
      </c>
      <c r="C9" s="139"/>
      <c r="D9" s="102"/>
      <c r="E9" s="140"/>
      <c r="F9" s="139"/>
      <c r="G9" s="107" t="str">
        <f>'[4]CENTRALA'!E9</f>
        <v>-</v>
      </c>
      <c r="H9" s="143"/>
      <c r="I9" s="144"/>
      <c r="J9" s="107">
        <f aca="true" t="shared" si="0" ref="J9:J50">SUM(M9:BF9)</f>
        <v>0</v>
      </c>
      <c r="K9" s="143"/>
      <c r="L9" s="144"/>
      <c r="M9" s="106" t="str">
        <f>'[4]Dolnośląski'!E9</f>
        <v>-</v>
      </c>
      <c r="N9" s="145"/>
      <c r="O9" s="146"/>
      <c r="P9" s="106" t="str">
        <f>'[4]KujawskoPomorski'!E9</f>
        <v>-</v>
      </c>
      <c r="Q9" s="145"/>
      <c r="R9" s="146"/>
      <c r="S9" s="106" t="str">
        <f>'[4]Lubelski'!E9</f>
        <v>-</v>
      </c>
      <c r="T9" s="145"/>
      <c r="U9" s="146"/>
      <c r="V9" s="106" t="str">
        <f>'[4]Lubuski'!E9</f>
        <v>-</v>
      </c>
      <c r="W9" s="145"/>
      <c r="X9" s="146"/>
      <c r="Y9" s="106" t="str">
        <f>'[4]Łódzki'!E9</f>
        <v>-</v>
      </c>
      <c r="Z9" s="145"/>
      <c r="AA9" s="146"/>
      <c r="AB9" s="106" t="str">
        <f>'[4]Małopolski'!E9</f>
        <v>-</v>
      </c>
      <c r="AC9" s="145"/>
      <c r="AD9" s="146"/>
      <c r="AE9" s="106" t="str">
        <f>'[4]Mazowiecki'!E9</f>
        <v>-</v>
      </c>
      <c r="AF9" s="145"/>
      <c r="AG9" s="146"/>
      <c r="AH9" s="106" t="str">
        <f>'[4]Opolski'!E9</f>
        <v>-</v>
      </c>
      <c r="AI9" s="145"/>
      <c r="AJ9" s="146"/>
      <c r="AK9" s="106" t="str">
        <f>'[4]Podkarpacki'!E9</f>
        <v>-</v>
      </c>
      <c r="AL9" s="145"/>
      <c r="AM9" s="146"/>
      <c r="AN9" s="106" t="str">
        <f>'[4]Podlaski'!E9</f>
        <v>-</v>
      </c>
      <c r="AO9" s="145"/>
      <c r="AP9" s="146"/>
      <c r="AQ9" s="106" t="str">
        <f>'[4]Pomorski'!E9</f>
        <v>-</v>
      </c>
      <c r="AR9" s="145"/>
      <c r="AS9" s="146"/>
      <c r="AT9" s="106" t="str">
        <f>'[4]Śląski'!E9</f>
        <v>-</v>
      </c>
      <c r="AU9" s="145"/>
      <c r="AV9" s="146"/>
      <c r="AW9" s="106" t="str">
        <f>'[4]Świętokrzyski'!E9</f>
        <v>-</v>
      </c>
      <c r="AX9" s="145"/>
      <c r="AY9" s="146"/>
      <c r="AZ9" s="106" t="str">
        <f>'[4]WarmińskoMazurski'!E9</f>
        <v>-</v>
      </c>
      <c r="BA9" s="145"/>
      <c r="BB9" s="146"/>
      <c r="BC9" s="106" t="str">
        <f>'[4]Wielkopolski'!E9</f>
        <v>-</v>
      </c>
      <c r="BD9" s="145"/>
      <c r="BE9" s="146"/>
      <c r="BF9" s="106" t="str">
        <f>'[4]Zachodniopomorski'!E9</f>
        <v>-</v>
      </c>
      <c r="BG9" s="145"/>
    </row>
    <row r="10" spans="1:59" ht="20.25" hidden="1">
      <c r="A10" s="137" t="s">
        <v>3</v>
      </c>
      <c r="B10" s="138" t="s">
        <v>158</v>
      </c>
      <c r="C10" s="139"/>
      <c r="D10" s="102"/>
      <c r="E10" s="140"/>
      <c r="F10" s="139"/>
      <c r="G10" s="107" t="str">
        <f>'[4]CENTRALA'!E10</f>
        <v>-</v>
      </c>
      <c r="H10" s="143"/>
      <c r="I10" s="144"/>
      <c r="J10" s="107">
        <f t="shared" si="0"/>
        <v>0</v>
      </c>
      <c r="K10" s="143"/>
      <c r="L10" s="144"/>
      <c r="M10" s="106" t="str">
        <f>'[4]Dolnośląski'!E10</f>
        <v>-</v>
      </c>
      <c r="N10" s="145"/>
      <c r="O10" s="146"/>
      <c r="P10" s="106" t="str">
        <f>'[4]KujawskoPomorski'!E10</f>
        <v>-</v>
      </c>
      <c r="Q10" s="145"/>
      <c r="R10" s="146"/>
      <c r="S10" s="106" t="str">
        <f>'[4]Lubelski'!E10</f>
        <v>-</v>
      </c>
      <c r="T10" s="145"/>
      <c r="U10" s="146"/>
      <c r="V10" s="106" t="str">
        <f>'[4]Lubuski'!E10</f>
        <v>-</v>
      </c>
      <c r="W10" s="145"/>
      <c r="X10" s="146"/>
      <c r="Y10" s="106" t="str">
        <f>'[4]Łódzki'!E10</f>
        <v>-</v>
      </c>
      <c r="Z10" s="145"/>
      <c r="AA10" s="146"/>
      <c r="AB10" s="106" t="str">
        <f>'[4]Małopolski'!E10</f>
        <v>-</v>
      </c>
      <c r="AC10" s="145"/>
      <c r="AD10" s="146"/>
      <c r="AE10" s="106" t="str">
        <f>'[4]Mazowiecki'!E10</f>
        <v>-</v>
      </c>
      <c r="AF10" s="145"/>
      <c r="AG10" s="146"/>
      <c r="AH10" s="106" t="str">
        <f>'[4]Opolski'!E10</f>
        <v>-</v>
      </c>
      <c r="AI10" s="145"/>
      <c r="AJ10" s="146"/>
      <c r="AK10" s="106" t="str">
        <f>'[4]Podkarpacki'!E10</f>
        <v>-</v>
      </c>
      <c r="AL10" s="145"/>
      <c r="AM10" s="146"/>
      <c r="AN10" s="106" t="str">
        <f>'[4]Podlaski'!E10</f>
        <v>-</v>
      </c>
      <c r="AO10" s="145"/>
      <c r="AP10" s="146"/>
      <c r="AQ10" s="106" t="str">
        <f>'[4]Pomorski'!E10</f>
        <v>-</v>
      </c>
      <c r="AR10" s="145"/>
      <c r="AS10" s="146"/>
      <c r="AT10" s="106" t="str">
        <f>'[4]Śląski'!E10</f>
        <v>-</v>
      </c>
      <c r="AU10" s="145"/>
      <c r="AV10" s="146"/>
      <c r="AW10" s="106" t="str">
        <f>'[4]Świętokrzyski'!E10</f>
        <v>-</v>
      </c>
      <c r="AX10" s="145"/>
      <c r="AY10" s="146"/>
      <c r="AZ10" s="106" t="str">
        <f>'[4]WarmińskoMazurski'!E10</f>
        <v>-</v>
      </c>
      <c r="BA10" s="145"/>
      <c r="BB10" s="146"/>
      <c r="BC10" s="106" t="str">
        <f>'[4]Wielkopolski'!E10</f>
        <v>-</v>
      </c>
      <c r="BD10" s="145"/>
      <c r="BE10" s="146"/>
      <c r="BF10" s="106" t="str">
        <f>'[4]Zachodniopomorski'!E10</f>
        <v>-</v>
      </c>
      <c r="BG10" s="145"/>
    </row>
    <row r="11" spans="1:59" ht="20.25" hidden="1">
      <c r="A11" s="147" t="s">
        <v>64</v>
      </c>
      <c r="B11" s="148" t="s">
        <v>65</v>
      </c>
      <c r="C11" s="149"/>
      <c r="D11" s="45"/>
      <c r="E11" s="150"/>
      <c r="F11" s="149"/>
      <c r="G11" s="107" t="str">
        <f>'[4]CENTRALA'!E11</f>
        <v>-</v>
      </c>
      <c r="H11" s="143"/>
      <c r="I11" s="144"/>
      <c r="J11" s="107">
        <f t="shared" si="0"/>
        <v>0</v>
      </c>
      <c r="K11" s="143"/>
      <c r="L11" s="144"/>
      <c r="M11" s="106" t="str">
        <f>'[4]Dolnośląski'!E11</f>
        <v>-</v>
      </c>
      <c r="N11" s="145"/>
      <c r="O11" s="146"/>
      <c r="P11" s="106" t="str">
        <f>'[4]KujawskoPomorski'!E11</f>
        <v>-</v>
      </c>
      <c r="Q11" s="145"/>
      <c r="R11" s="146"/>
      <c r="S11" s="106" t="str">
        <f>'[4]Lubelski'!E11</f>
        <v>-</v>
      </c>
      <c r="T11" s="145"/>
      <c r="U11" s="146"/>
      <c r="V11" s="106" t="str">
        <f>'[4]Lubuski'!E11</f>
        <v>-</v>
      </c>
      <c r="W11" s="145"/>
      <c r="X11" s="146"/>
      <c r="Y11" s="106" t="str">
        <f>'[4]Łódzki'!E11</f>
        <v>-</v>
      </c>
      <c r="Z11" s="145"/>
      <c r="AA11" s="146"/>
      <c r="AB11" s="106" t="str">
        <f>'[4]Małopolski'!E11</f>
        <v>-</v>
      </c>
      <c r="AC11" s="145"/>
      <c r="AD11" s="146"/>
      <c r="AE11" s="106" t="str">
        <f>'[4]Mazowiecki'!E11</f>
        <v>-</v>
      </c>
      <c r="AF11" s="145"/>
      <c r="AG11" s="146"/>
      <c r="AH11" s="106" t="str">
        <f>'[4]Opolski'!E11</f>
        <v>-</v>
      </c>
      <c r="AI11" s="145"/>
      <c r="AJ11" s="146"/>
      <c r="AK11" s="106" t="str">
        <f>'[4]Podkarpacki'!E11</f>
        <v>-</v>
      </c>
      <c r="AL11" s="145"/>
      <c r="AM11" s="146"/>
      <c r="AN11" s="106" t="str">
        <f>'[4]Podlaski'!E11</f>
        <v>-</v>
      </c>
      <c r="AO11" s="145"/>
      <c r="AP11" s="146"/>
      <c r="AQ11" s="106" t="str">
        <f>'[4]Pomorski'!E11</f>
        <v>-</v>
      </c>
      <c r="AR11" s="145"/>
      <c r="AS11" s="146"/>
      <c r="AT11" s="106" t="str">
        <f>'[4]Śląski'!E11</f>
        <v>-</v>
      </c>
      <c r="AU11" s="145"/>
      <c r="AV11" s="146"/>
      <c r="AW11" s="106" t="str">
        <f>'[4]Świętokrzyski'!E11</f>
        <v>-</v>
      </c>
      <c r="AX11" s="145"/>
      <c r="AY11" s="146"/>
      <c r="AZ11" s="106" t="str">
        <f>'[4]WarmińskoMazurski'!E11</f>
        <v>-</v>
      </c>
      <c r="BA11" s="145"/>
      <c r="BB11" s="146"/>
      <c r="BC11" s="106" t="str">
        <f>'[4]Wielkopolski'!E11</f>
        <v>-</v>
      </c>
      <c r="BD11" s="145"/>
      <c r="BE11" s="146"/>
      <c r="BF11" s="106" t="str">
        <f>'[4]Zachodniopomorski'!E11</f>
        <v>-</v>
      </c>
      <c r="BG11" s="145"/>
    </row>
    <row r="12" spans="1:59" ht="20.25" hidden="1">
      <c r="A12" s="137" t="s">
        <v>4</v>
      </c>
      <c r="B12" s="138" t="s">
        <v>174</v>
      </c>
      <c r="C12" s="139"/>
      <c r="D12" s="102"/>
      <c r="E12" s="140"/>
      <c r="F12" s="139"/>
      <c r="G12" s="107" t="str">
        <f>'[4]CENTRALA'!E12</f>
        <v>-</v>
      </c>
      <c r="H12" s="143"/>
      <c r="I12" s="144"/>
      <c r="J12" s="107">
        <f t="shared" si="0"/>
        <v>0</v>
      </c>
      <c r="K12" s="143"/>
      <c r="L12" s="144"/>
      <c r="M12" s="106" t="str">
        <f>'[4]Dolnośląski'!E12</f>
        <v>-</v>
      </c>
      <c r="N12" s="145"/>
      <c r="O12" s="146"/>
      <c r="P12" s="106" t="str">
        <f>'[4]KujawskoPomorski'!E12</f>
        <v>-</v>
      </c>
      <c r="Q12" s="145"/>
      <c r="R12" s="146"/>
      <c r="S12" s="106" t="str">
        <f>'[4]Lubelski'!E12</f>
        <v>-</v>
      </c>
      <c r="T12" s="145"/>
      <c r="U12" s="146"/>
      <c r="V12" s="106" t="str">
        <f>'[4]Lubuski'!E12</f>
        <v>-</v>
      </c>
      <c r="W12" s="145"/>
      <c r="X12" s="146"/>
      <c r="Y12" s="106" t="str">
        <f>'[4]Łódzki'!E12</f>
        <v>-</v>
      </c>
      <c r="Z12" s="145"/>
      <c r="AA12" s="146"/>
      <c r="AB12" s="106" t="str">
        <f>'[4]Małopolski'!E12</f>
        <v>-</v>
      </c>
      <c r="AC12" s="145"/>
      <c r="AD12" s="146"/>
      <c r="AE12" s="106" t="str">
        <f>'[4]Mazowiecki'!E12</f>
        <v>-</v>
      </c>
      <c r="AF12" s="145"/>
      <c r="AG12" s="146"/>
      <c r="AH12" s="106" t="str">
        <f>'[4]Opolski'!E12</f>
        <v>-</v>
      </c>
      <c r="AI12" s="145"/>
      <c r="AJ12" s="146"/>
      <c r="AK12" s="106" t="str">
        <f>'[4]Podkarpacki'!E12</f>
        <v>-</v>
      </c>
      <c r="AL12" s="145"/>
      <c r="AM12" s="146"/>
      <c r="AN12" s="106" t="str">
        <f>'[4]Podlaski'!E12</f>
        <v>-</v>
      </c>
      <c r="AO12" s="145"/>
      <c r="AP12" s="146"/>
      <c r="AQ12" s="106" t="str">
        <f>'[4]Pomorski'!E12</f>
        <v>-</v>
      </c>
      <c r="AR12" s="145"/>
      <c r="AS12" s="146"/>
      <c r="AT12" s="106" t="str">
        <f>'[4]Śląski'!E12</f>
        <v>-</v>
      </c>
      <c r="AU12" s="145"/>
      <c r="AV12" s="146"/>
      <c r="AW12" s="106" t="str">
        <f>'[4]Świętokrzyski'!E12</f>
        <v>-</v>
      </c>
      <c r="AX12" s="145"/>
      <c r="AY12" s="146"/>
      <c r="AZ12" s="106" t="str">
        <f>'[4]WarmińskoMazurski'!E12</f>
        <v>-</v>
      </c>
      <c r="BA12" s="145"/>
      <c r="BB12" s="146"/>
      <c r="BC12" s="106" t="str">
        <f>'[4]Wielkopolski'!E12</f>
        <v>-</v>
      </c>
      <c r="BD12" s="145"/>
      <c r="BE12" s="146"/>
      <c r="BF12" s="106" t="str">
        <f>'[4]Zachodniopomorski'!E12</f>
        <v>-</v>
      </c>
      <c r="BG12" s="145"/>
    </row>
    <row r="13" spans="1:59" ht="20.25" hidden="1">
      <c r="A13" s="137" t="s">
        <v>5</v>
      </c>
      <c r="B13" s="138" t="s">
        <v>169</v>
      </c>
      <c r="C13" s="139"/>
      <c r="D13" s="102"/>
      <c r="E13" s="140"/>
      <c r="F13" s="139"/>
      <c r="G13" s="107" t="str">
        <f>'[4]CENTRALA'!E13</f>
        <v>-</v>
      </c>
      <c r="H13" s="143"/>
      <c r="I13" s="144"/>
      <c r="J13" s="107">
        <f t="shared" si="0"/>
        <v>0</v>
      </c>
      <c r="K13" s="143"/>
      <c r="L13" s="144"/>
      <c r="M13" s="106" t="str">
        <f>'[4]Dolnośląski'!E13</f>
        <v>-</v>
      </c>
      <c r="N13" s="145"/>
      <c r="O13" s="146"/>
      <c r="P13" s="106" t="str">
        <f>'[4]KujawskoPomorski'!E13</f>
        <v>-</v>
      </c>
      <c r="Q13" s="145"/>
      <c r="R13" s="146"/>
      <c r="S13" s="106" t="str">
        <f>'[4]Lubelski'!E13</f>
        <v>-</v>
      </c>
      <c r="T13" s="145"/>
      <c r="U13" s="146"/>
      <c r="V13" s="106" t="str">
        <f>'[4]Lubuski'!E13</f>
        <v>-</v>
      </c>
      <c r="W13" s="145"/>
      <c r="X13" s="146"/>
      <c r="Y13" s="106" t="str">
        <f>'[4]Łódzki'!E13</f>
        <v>-</v>
      </c>
      <c r="Z13" s="145"/>
      <c r="AA13" s="146"/>
      <c r="AB13" s="106" t="str">
        <f>'[4]Małopolski'!E13</f>
        <v>-</v>
      </c>
      <c r="AC13" s="145"/>
      <c r="AD13" s="146"/>
      <c r="AE13" s="106" t="str">
        <f>'[4]Mazowiecki'!E13</f>
        <v>-</v>
      </c>
      <c r="AF13" s="145"/>
      <c r="AG13" s="146"/>
      <c r="AH13" s="106" t="str">
        <f>'[4]Opolski'!E13</f>
        <v>-</v>
      </c>
      <c r="AI13" s="145"/>
      <c r="AJ13" s="146"/>
      <c r="AK13" s="106" t="str">
        <f>'[4]Podkarpacki'!E13</f>
        <v>-</v>
      </c>
      <c r="AL13" s="145"/>
      <c r="AM13" s="146"/>
      <c r="AN13" s="106" t="str">
        <f>'[4]Podlaski'!E13</f>
        <v>-</v>
      </c>
      <c r="AO13" s="145"/>
      <c r="AP13" s="146"/>
      <c r="AQ13" s="106" t="str">
        <f>'[4]Pomorski'!E13</f>
        <v>-</v>
      </c>
      <c r="AR13" s="145"/>
      <c r="AS13" s="146"/>
      <c r="AT13" s="106" t="str">
        <f>'[4]Śląski'!E13</f>
        <v>-</v>
      </c>
      <c r="AU13" s="145"/>
      <c r="AV13" s="146"/>
      <c r="AW13" s="106" t="str">
        <f>'[4]Świętokrzyski'!E13</f>
        <v>-</v>
      </c>
      <c r="AX13" s="145"/>
      <c r="AY13" s="146"/>
      <c r="AZ13" s="106" t="str">
        <f>'[4]WarmińskoMazurski'!E13</f>
        <v>-</v>
      </c>
      <c r="BA13" s="145"/>
      <c r="BB13" s="146"/>
      <c r="BC13" s="106" t="str">
        <f>'[4]Wielkopolski'!E13</f>
        <v>-</v>
      </c>
      <c r="BD13" s="145"/>
      <c r="BE13" s="146"/>
      <c r="BF13" s="106" t="str">
        <f>'[4]Zachodniopomorski'!E13</f>
        <v>-</v>
      </c>
      <c r="BG13" s="145"/>
    </row>
    <row r="14" spans="1:59" ht="40.5" hidden="1">
      <c r="A14" s="137" t="s">
        <v>6</v>
      </c>
      <c r="B14" s="138" t="s">
        <v>178</v>
      </c>
      <c r="C14" s="139"/>
      <c r="D14" s="102"/>
      <c r="E14" s="140"/>
      <c r="F14" s="139"/>
      <c r="G14" s="107" t="str">
        <f>'[4]CENTRALA'!E14</f>
        <v>-</v>
      </c>
      <c r="H14" s="143"/>
      <c r="I14" s="144"/>
      <c r="J14" s="107">
        <f t="shared" si="0"/>
        <v>0</v>
      </c>
      <c r="K14" s="143"/>
      <c r="L14" s="144"/>
      <c r="M14" s="106" t="str">
        <f>'[4]Dolnośląski'!E14</f>
        <v>-</v>
      </c>
      <c r="N14" s="145"/>
      <c r="O14" s="146"/>
      <c r="P14" s="106" t="str">
        <f>'[4]KujawskoPomorski'!E14</f>
        <v>-</v>
      </c>
      <c r="Q14" s="145"/>
      <c r="R14" s="146"/>
      <c r="S14" s="106" t="str">
        <f>'[4]Lubelski'!E14</f>
        <v>-</v>
      </c>
      <c r="T14" s="145"/>
      <c r="U14" s="146"/>
      <c r="V14" s="106" t="str">
        <f>'[4]Lubuski'!E14</f>
        <v>-</v>
      </c>
      <c r="W14" s="145"/>
      <c r="X14" s="146"/>
      <c r="Y14" s="106" t="str">
        <f>'[4]Łódzki'!E14</f>
        <v>-</v>
      </c>
      <c r="Z14" s="145"/>
      <c r="AA14" s="146"/>
      <c r="AB14" s="106" t="str">
        <f>'[4]Małopolski'!E14</f>
        <v>-</v>
      </c>
      <c r="AC14" s="145"/>
      <c r="AD14" s="146"/>
      <c r="AE14" s="106" t="str">
        <f>'[4]Mazowiecki'!E14</f>
        <v>-</v>
      </c>
      <c r="AF14" s="145"/>
      <c r="AG14" s="146"/>
      <c r="AH14" s="106" t="str">
        <f>'[4]Opolski'!E14</f>
        <v>-</v>
      </c>
      <c r="AI14" s="145"/>
      <c r="AJ14" s="146"/>
      <c r="AK14" s="106" t="str">
        <f>'[4]Podkarpacki'!E14</f>
        <v>-</v>
      </c>
      <c r="AL14" s="145"/>
      <c r="AM14" s="146"/>
      <c r="AN14" s="106" t="str">
        <f>'[4]Podlaski'!E14</f>
        <v>-</v>
      </c>
      <c r="AO14" s="145"/>
      <c r="AP14" s="146"/>
      <c r="AQ14" s="106" t="str">
        <f>'[4]Pomorski'!E14</f>
        <v>-</v>
      </c>
      <c r="AR14" s="145"/>
      <c r="AS14" s="146"/>
      <c r="AT14" s="106" t="str">
        <f>'[4]Śląski'!E14</f>
        <v>-</v>
      </c>
      <c r="AU14" s="145"/>
      <c r="AV14" s="146"/>
      <c r="AW14" s="106" t="str">
        <f>'[4]Świętokrzyski'!E14</f>
        <v>-</v>
      </c>
      <c r="AX14" s="145"/>
      <c r="AY14" s="146"/>
      <c r="AZ14" s="106" t="str">
        <f>'[4]WarmińskoMazurski'!E14</f>
        <v>-</v>
      </c>
      <c r="BA14" s="145"/>
      <c r="BB14" s="146"/>
      <c r="BC14" s="106" t="str">
        <f>'[4]Wielkopolski'!E14</f>
        <v>-</v>
      </c>
      <c r="BD14" s="145"/>
      <c r="BE14" s="146"/>
      <c r="BF14" s="106" t="str">
        <f>'[4]Zachodniopomorski'!E14</f>
        <v>-</v>
      </c>
      <c r="BG14" s="145"/>
    </row>
    <row r="15" spans="1:59" ht="20.25" hidden="1">
      <c r="A15" s="137" t="s">
        <v>7</v>
      </c>
      <c r="B15" s="138" t="s">
        <v>177</v>
      </c>
      <c r="C15" s="139"/>
      <c r="D15" s="102"/>
      <c r="E15" s="140"/>
      <c r="F15" s="139"/>
      <c r="G15" s="107" t="str">
        <f>'[4]CENTRALA'!E15</f>
        <v>-</v>
      </c>
      <c r="H15" s="143"/>
      <c r="I15" s="144"/>
      <c r="J15" s="107">
        <f t="shared" si="0"/>
        <v>0</v>
      </c>
      <c r="K15" s="143"/>
      <c r="L15" s="144"/>
      <c r="M15" s="106" t="str">
        <f>'[4]Dolnośląski'!E15</f>
        <v>-</v>
      </c>
      <c r="N15" s="145"/>
      <c r="O15" s="146"/>
      <c r="P15" s="106" t="str">
        <f>'[4]KujawskoPomorski'!E15</f>
        <v>-</v>
      </c>
      <c r="Q15" s="145"/>
      <c r="R15" s="146"/>
      <c r="S15" s="106" t="str">
        <f>'[4]Lubelski'!E15</f>
        <v>-</v>
      </c>
      <c r="T15" s="145"/>
      <c r="U15" s="146"/>
      <c r="V15" s="106" t="str">
        <f>'[4]Lubuski'!E15</f>
        <v>-</v>
      </c>
      <c r="W15" s="145"/>
      <c r="X15" s="146"/>
      <c r="Y15" s="106" t="str">
        <f>'[4]Łódzki'!E15</f>
        <v>-</v>
      </c>
      <c r="Z15" s="145"/>
      <c r="AA15" s="146"/>
      <c r="AB15" s="106" t="str">
        <f>'[4]Małopolski'!E15</f>
        <v>-</v>
      </c>
      <c r="AC15" s="145"/>
      <c r="AD15" s="146"/>
      <c r="AE15" s="106" t="str">
        <f>'[4]Mazowiecki'!E15</f>
        <v>-</v>
      </c>
      <c r="AF15" s="145"/>
      <c r="AG15" s="146"/>
      <c r="AH15" s="106" t="str">
        <f>'[4]Opolski'!E15</f>
        <v>-</v>
      </c>
      <c r="AI15" s="145"/>
      <c r="AJ15" s="146"/>
      <c r="AK15" s="106" t="str">
        <f>'[4]Podkarpacki'!E15</f>
        <v>-</v>
      </c>
      <c r="AL15" s="145"/>
      <c r="AM15" s="146"/>
      <c r="AN15" s="106" t="str">
        <f>'[4]Podlaski'!E15</f>
        <v>-</v>
      </c>
      <c r="AO15" s="145"/>
      <c r="AP15" s="146"/>
      <c r="AQ15" s="106" t="str">
        <f>'[4]Pomorski'!E15</f>
        <v>-</v>
      </c>
      <c r="AR15" s="145"/>
      <c r="AS15" s="146"/>
      <c r="AT15" s="106" t="str">
        <f>'[4]Śląski'!E15</f>
        <v>-</v>
      </c>
      <c r="AU15" s="145"/>
      <c r="AV15" s="146"/>
      <c r="AW15" s="106" t="str">
        <f>'[4]Świętokrzyski'!E15</f>
        <v>-</v>
      </c>
      <c r="AX15" s="145"/>
      <c r="AY15" s="146"/>
      <c r="AZ15" s="106" t="str">
        <f>'[4]WarmińskoMazurski'!E15</f>
        <v>-</v>
      </c>
      <c r="BA15" s="145"/>
      <c r="BB15" s="146"/>
      <c r="BC15" s="106" t="str">
        <f>'[4]Wielkopolski'!E15</f>
        <v>-</v>
      </c>
      <c r="BD15" s="145"/>
      <c r="BE15" s="146"/>
      <c r="BF15" s="106" t="str">
        <f>'[4]Zachodniopomorski'!E15</f>
        <v>-</v>
      </c>
      <c r="BG15" s="145"/>
    </row>
    <row r="16" spans="1:59" ht="20.25" hidden="1">
      <c r="A16" s="137" t="s">
        <v>8</v>
      </c>
      <c r="B16" s="138" t="s">
        <v>170</v>
      </c>
      <c r="C16" s="139"/>
      <c r="D16" s="102"/>
      <c r="E16" s="140"/>
      <c r="F16" s="139"/>
      <c r="G16" s="107" t="str">
        <f>'[4]CENTRALA'!E16</f>
        <v>-</v>
      </c>
      <c r="H16" s="143"/>
      <c r="I16" s="144"/>
      <c r="J16" s="107">
        <f t="shared" si="0"/>
        <v>0</v>
      </c>
      <c r="K16" s="143"/>
      <c r="L16" s="144"/>
      <c r="M16" s="106" t="str">
        <f>'[4]Dolnośląski'!E16</f>
        <v>-</v>
      </c>
      <c r="N16" s="145"/>
      <c r="O16" s="146"/>
      <c r="P16" s="106" t="str">
        <f>'[4]KujawskoPomorski'!E16</f>
        <v>-</v>
      </c>
      <c r="Q16" s="145"/>
      <c r="R16" s="146"/>
      <c r="S16" s="106" t="str">
        <f>'[4]Lubelski'!E16</f>
        <v>-</v>
      </c>
      <c r="T16" s="145"/>
      <c r="U16" s="146"/>
      <c r="V16" s="106" t="str">
        <f>'[4]Lubuski'!E16</f>
        <v>-</v>
      </c>
      <c r="W16" s="145"/>
      <c r="X16" s="146"/>
      <c r="Y16" s="106" t="str">
        <f>'[4]Łódzki'!E16</f>
        <v>-</v>
      </c>
      <c r="Z16" s="145"/>
      <c r="AA16" s="146"/>
      <c r="AB16" s="106" t="str">
        <f>'[4]Małopolski'!E16</f>
        <v>-</v>
      </c>
      <c r="AC16" s="145"/>
      <c r="AD16" s="146"/>
      <c r="AE16" s="106" t="str">
        <f>'[4]Mazowiecki'!E16</f>
        <v>-</v>
      </c>
      <c r="AF16" s="145"/>
      <c r="AG16" s="146"/>
      <c r="AH16" s="106" t="str">
        <f>'[4]Opolski'!E16</f>
        <v>-</v>
      </c>
      <c r="AI16" s="145"/>
      <c r="AJ16" s="146"/>
      <c r="AK16" s="106" t="str">
        <f>'[4]Podkarpacki'!E16</f>
        <v>-</v>
      </c>
      <c r="AL16" s="145"/>
      <c r="AM16" s="146"/>
      <c r="AN16" s="106" t="str">
        <f>'[4]Podlaski'!E16</f>
        <v>-</v>
      </c>
      <c r="AO16" s="145"/>
      <c r="AP16" s="146"/>
      <c r="AQ16" s="106" t="str">
        <f>'[4]Pomorski'!E16</f>
        <v>-</v>
      </c>
      <c r="AR16" s="145"/>
      <c r="AS16" s="146"/>
      <c r="AT16" s="106" t="str">
        <f>'[4]Śląski'!E16</f>
        <v>-</v>
      </c>
      <c r="AU16" s="145"/>
      <c r="AV16" s="146"/>
      <c r="AW16" s="106" t="str">
        <f>'[4]Świętokrzyski'!E16</f>
        <v>-</v>
      </c>
      <c r="AX16" s="145"/>
      <c r="AY16" s="146"/>
      <c r="AZ16" s="106" t="str">
        <f>'[4]WarmińskoMazurski'!E16</f>
        <v>-</v>
      </c>
      <c r="BA16" s="145"/>
      <c r="BB16" s="146"/>
      <c r="BC16" s="106" t="str">
        <f>'[4]Wielkopolski'!E16</f>
        <v>-</v>
      </c>
      <c r="BD16" s="145"/>
      <c r="BE16" s="146"/>
      <c r="BF16" s="106" t="str">
        <f>'[4]Zachodniopomorski'!E16</f>
        <v>-</v>
      </c>
      <c r="BG16" s="145"/>
    </row>
    <row r="17" spans="1:59" ht="20.25" hidden="1">
      <c r="A17" s="137" t="s">
        <v>9</v>
      </c>
      <c r="B17" s="138" t="s">
        <v>171</v>
      </c>
      <c r="C17" s="139"/>
      <c r="D17" s="102"/>
      <c r="E17" s="140"/>
      <c r="F17" s="139"/>
      <c r="G17" s="107" t="str">
        <f>'[4]CENTRALA'!E17</f>
        <v>-</v>
      </c>
      <c r="H17" s="143"/>
      <c r="I17" s="144"/>
      <c r="J17" s="107">
        <f t="shared" si="0"/>
        <v>0</v>
      </c>
      <c r="K17" s="143"/>
      <c r="L17" s="144"/>
      <c r="M17" s="106" t="str">
        <f>'[4]Dolnośląski'!E17</f>
        <v>-</v>
      </c>
      <c r="N17" s="145"/>
      <c r="O17" s="146"/>
      <c r="P17" s="106" t="str">
        <f>'[4]KujawskoPomorski'!E17</f>
        <v>-</v>
      </c>
      <c r="Q17" s="145"/>
      <c r="R17" s="146"/>
      <c r="S17" s="106" t="str">
        <f>'[4]Lubelski'!E17</f>
        <v>-</v>
      </c>
      <c r="T17" s="145"/>
      <c r="U17" s="146"/>
      <c r="V17" s="106" t="str">
        <f>'[4]Lubuski'!E17</f>
        <v>-</v>
      </c>
      <c r="W17" s="145"/>
      <c r="X17" s="146"/>
      <c r="Y17" s="106" t="str">
        <f>'[4]Łódzki'!E17</f>
        <v>-</v>
      </c>
      <c r="Z17" s="145"/>
      <c r="AA17" s="146"/>
      <c r="AB17" s="106" t="str">
        <f>'[4]Małopolski'!E17</f>
        <v>-</v>
      </c>
      <c r="AC17" s="145"/>
      <c r="AD17" s="146"/>
      <c r="AE17" s="106" t="str">
        <f>'[4]Mazowiecki'!E17</f>
        <v>-</v>
      </c>
      <c r="AF17" s="145"/>
      <c r="AG17" s="146"/>
      <c r="AH17" s="106" t="str">
        <f>'[4]Opolski'!E17</f>
        <v>-</v>
      </c>
      <c r="AI17" s="145"/>
      <c r="AJ17" s="146"/>
      <c r="AK17" s="106" t="str">
        <f>'[4]Podkarpacki'!E17</f>
        <v>-</v>
      </c>
      <c r="AL17" s="145"/>
      <c r="AM17" s="146"/>
      <c r="AN17" s="106" t="str">
        <f>'[4]Podlaski'!E17</f>
        <v>-</v>
      </c>
      <c r="AO17" s="145"/>
      <c r="AP17" s="146"/>
      <c r="AQ17" s="106" t="str">
        <f>'[4]Pomorski'!E17</f>
        <v>-</v>
      </c>
      <c r="AR17" s="145"/>
      <c r="AS17" s="146"/>
      <c r="AT17" s="106" t="str">
        <f>'[4]Śląski'!E17</f>
        <v>-</v>
      </c>
      <c r="AU17" s="145"/>
      <c r="AV17" s="146"/>
      <c r="AW17" s="106" t="str">
        <f>'[4]Świętokrzyski'!E17</f>
        <v>-</v>
      </c>
      <c r="AX17" s="145"/>
      <c r="AY17" s="146"/>
      <c r="AZ17" s="106" t="str">
        <f>'[4]WarmińskoMazurski'!E17</f>
        <v>-</v>
      </c>
      <c r="BA17" s="145"/>
      <c r="BB17" s="146"/>
      <c r="BC17" s="106" t="str">
        <f>'[4]Wielkopolski'!E17</f>
        <v>-</v>
      </c>
      <c r="BD17" s="145"/>
      <c r="BE17" s="146"/>
      <c r="BF17" s="106" t="str">
        <f>'[4]Zachodniopomorski'!E17</f>
        <v>-</v>
      </c>
      <c r="BG17" s="145"/>
    </row>
    <row r="18" spans="1:59" ht="40.5" hidden="1">
      <c r="A18" s="137" t="s">
        <v>10</v>
      </c>
      <c r="B18" s="138" t="s">
        <v>179</v>
      </c>
      <c r="C18" s="139"/>
      <c r="D18" s="102"/>
      <c r="E18" s="140"/>
      <c r="F18" s="139"/>
      <c r="G18" s="107" t="str">
        <f>'[4]CENTRALA'!E18</f>
        <v>-</v>
      </c>
      <c r="H18" s="143"/>
      <c r="I18" s="144"/>
      <c r="J18" s="107">
        <f t="shared" si="0"/>
        <v>0</v>
      </c>
      <c r="K18" s="143"/>
      <c r="L18" s="144"/>
      <c r="M18" s="106" t="str">
        <f>'[4]Dolnośląski'!E18</f>
        <v>-</v>
      </c>
      <c r="N18" s="145"/>
      <c r="O18" s="146"/>
      <c r="P18" s="106" t="str">
        <f>'[4]KujawskoPomorski'!E18</f>
        <v>-</v>
      </c>
      <c r="Q18" s="145"/>
      <c r="R18" s="146"/>
      <c r="S18" s="106" t="str">
        <f>'[4]Lubelski'!E18</f>
        <v>-</v>
      </c>
      <c r="T18" s="145"/>
      <c r="U18" s="146"/>
      <c r="V18" s="106" t="str">
        <f>'[4]Lubuski'!E18</f>
        <v>-</v>
      </c>
      <c r="W18" s="145"/>
      <c r="X18" s="146"/>
      <c r="Y18" s="106" t="str">
        <f>'[4]Łódzki'!E18</f>
        <v>-</v>
      </c>
      <c r="Z18" s="145"/>
      <c r="AA18" s="146"/>
      <c r="AB18" s="106" t="str">
        <f>'[4]Małopolski'!E18</f>
        <v>-</v>
      </c>
      <c r="AC18" s="145"/>
      <c r="AD18" s="146"/>
      <c r="AE18" s="106" t="str">
        <f>'[4]Mazowiecki'!E18</f>
        <v>-</v>
      </c>
      <c r="AF18" s="145"/>
      <c r="AG18" s="146"/>
      <c r="AH18" s="106" t="str">
        <f>'[4]Opolski'!E18</f>
        <v>-</v>
      </c>
      <c r="AI18" s="145"/>
      <c r="AJ18" s="146"/>
      <c r="AK18" s="106" t="str">
        <f>'[4]Podkarpacki'!E18</f>
        <v>-</v>
      </c>
      <c r="AL18" s="145"/>
      <c r="AM18" s="146"/>
      <c r="AN18" s="106" t="str">
        <f>'[4]Podlaski'!E18</f>
        <v>-</v>
      </c>
      <c r="AO18" s="145"/>
      <c r="AP18" s="146"/>
      <c r="AQ18" s="106" t="str">
        <f>'[4]Pomorski'!E18</f>
        <v>-</v>
      </c>
      <c r="AR18" s="145"/>
      <c r="AS18" s="146"/>
      <c r="AT18" s="106" t="str">
        <f>'[4]Śląski'!E18</f>
        <v>-</v>
      </c>
      <c r="AU18" s="145"/>
      <c r="AV18" s="146"/>
      <c r="AW18" s="106" t="str">
        <f>'[4]Świętokrzyski'!E18</f>
        <v>-</v>
      </c>
      <c r="AX18" s="145"/>
      <c r="AY18" s="146"/>
      <c r="AZ18" s="106" t="str">
        <f>'[4]WarmińskoMazurski'!E18</f>
        <v>-</v>
      </c>
      <c r="BA18" s="145"/>
      <c r="BB18" s="146"/>
      <c r="BC18" s="106" t="str">
        <f>'[4]Wielkopolski'!E18</f>
        <v>-</v>
      </c>
      <c r="BD18" s="145"/>
      <c r="BE18" s="146"/>
      <c r="BF18" s="106" t="str">
        <f>'[4]Zachodniopomorski'!E18</f>
        <v>-</v>
      </c>
      <c r="BG18" s="145"/>
    </row>
    <row r="19" spans="1:59" ht="46.5" customHeight="1" hidden="1">
      <c r="A19" s="137" t="s">
        <v>11</v>
      </c>
      <c r="B19" s="138" t="s">
        <v>172</v>
      </c>
      <c r="C19" s="139"/>
      <c r="D19" s="102"/>
      <c r="E19" s="140"/>
      <c r="F19" s="139"/>
      <c r="G19" s="107" t="str">
        <f>'[4]CENTRALA'!E19</f>
        <v>-</v>
      </c>
      <c r="H19" s="143"/>
      <c r="I19" s="144"/>
      <c r="J19" s="107">
        <f t="shared" si="0"/>
        <v>0</v>
      </c>
      <c r="K19" s="143"/>
      <c r="L19" s="144"/>
      <c r="M19" s="106" t="str">
        <f>'[4]Dolnośląski'!E19</f>
        <v>-</v>
      </c>
      <c r="N19" s="145"/>
      <c r="O19" s="146"/>
      <c r="P19" s="106" t="str">
        <f>'[4]KujawskoPomorski'!E19</f>
        <v>-</v>
      </c>
      <c r="Q19" s="145"/>
      <c r="R19" s="146"/>
      <c r="S19" s="106" t="str">
        <f>'[4]Lubelski'!E19</f>
        <v>-</v>
      </c>
      <c r="T19" s="145"/>
      <c r="U19" s="146"/>
      <c r="V19" s="106" t="str">
        <f>'[4]Lubuski'!E19</f>
        <v>-</v>
      </c>
      <c r="W19" s="145"/>
      <c r="X19" s="146"/>
      <c r="Y19" s="106" t="str">
        <f>'[4]Łódzki'!E19</f>
        <v>-</v>
      </c>
      <c r="Z19" s="145"/>
      <c r="AA19" s="146"/>
      <c r="AB19" s="106" t="str">
        <f>'[4]Małopolski'!E19</f>
        <v>-</v>
      </c>
      <c r="AC19" s="145"/>
      <c r="AD19" s="146"/>
      <c r="AE19" s="106" t="str">
        <f>'[4]Mazowiecki'!E19</f>
        <v>-</v>
      </c>
      <c r="AF19" s="145"/>
      <c r="AG19" s="146"/>
      <c r="AH19" s="106" t="str">
        <f>'[4]Opolski'!E19</f>
        <v>-</v>
      </c>
      <c r="AI19" s="145"/>
      <c r="AJ19" s="146"/>
      <c r="AK19" s="106" t="str">
        <f>'[4]Podkarpacki'!E19</f>
        <v>-</v>
      </c>
      <c r="AL19" s="145"/>
      <c r="AM19" s="146"/>
      <c r="AN19" s="106" t="str">
        <f>'[4]Podlaski'!E19</f>
        <v>-</v>
      </c>
      <c r="AO19" s="145"/>
      <c r="AP19" s="146"/>
      <c r="AQ19" s="106" t="str">
        <f>'[4]Pomorski'!E19</f>
        <v>-</v>
      </c>
      <c r="AR19" s="145"/>
      <c r="AS19" s="146"/>
      <c r="AT19" s="106" t="str">
        <f>'[4]Śląski'!E19</f>
        <v>-</v>
      </c>
      <c r="AU19" s="145"/>
      <c r="AV19" s="146"/>
      <c r="AW19" s="106" t="str">
        <f>'[4]Świętokrzyski'!E19</f>
        <v>-</v>
      </c>
      <c r="AX19" s="145"/>
      <c r="AY19" s="146"/>
      <c r="AZ19" s="106" t="str">
        <f>'[4]WarmińskoMazurski'!E19</f>
        <v>-</v>
      </c>
      <c r="BA19" s="145"/>
      <c r="BB19" s="146"/>
      <c r="BC19" s="106" t="str">
        <f>'[4]Wielkopolski'!E19</f>
        <v>-</v>
      </c>
      <c r="BD19" s="145"/>
      <c r="BE19" s="146"/>
      <c r="BF19" s="106" t="str">
        <f>'[4]Zachodniopomorski'!E19</f>
        <v>-</v>
      </c>
      <c r="BG19" s="145"/>
    </row>
    <row r="20" spans="1:59" ht="23.25" customHeight="1" hidden="1">
      <c r="A20" s="137" t="s">
        <v>12</v>
      </c>
      <c r="B20" s="138" t="s">
        <v>173</v>
      </c>
      <c r="C20" s="139"/>
      <c r="D20" s="102"/>
      <c r="E20" s="140"/>
      <c r="F20" s="139"/>
      <c r="G20" s="107" t="str">
        <f>'[4]CENTRALA'!E20</f>
        <v>-</v>
      </c>
      <c r="H20" s="143"/>
      <c r="I20" s="144"/>
      <c r="J20" s="107">
        <f t="shared" si="0"/>
        <v>0</v>
      </c>
      <c r="K20" s="143"/>
      <c r="L20" s="144"/>
      <c r="M20" s="106" t="str">
        <f>'[4]Dolnośląski'!E20</f>
        <v>-</v>
      </c>
      <c r="N20" s="145"/>
      <c r="O20" s="146"/>
      <c r="P20" s="106" t="str">
        <f>'[4]KujawskoPomorski'!E20</f>
        <v>-</v>
      </c>
      <c r="Q20" s="145"/>
      <c r="R20" s="146"/>
      <c r="S20" s="106" t="str">
        <f>'[4]Lubelski'!E20</f>
        <v>-</v>
      </c>
      <c r="T20" s="145"/>
      <c r="U20" s="146"/>
      <c r="V20" s="106" t="str">
        <f>'[4]Lubuski'!E20</f>
        <v>-</v>
      </c>
      <c r="W20" s="145"/>
      <c r="X20" s="146"/>
      <c r="Y20" s="106" t="str">
        <f>'[4]Łódzki'!E20</f>
        <v>-</v>
      </c>
      <c r="Z20" s="145"/>
      <c r="AA20" s="146"/>
      <c r="AB20" s="106" t="str">
        <f>'[4]Małopolski'!E20</f>
        <v>-</v>
      </c>
      <c r="AC20" s="145"/>
      <c r="AD20" s="146"/>
      <c r="AE20" s="106" t="str">
        <f>'[4]Mazowiecki'!E20</f>
        <v>-</v>
      </c>
      <c r="AF20" s="145"/>
      <c r="AG20" s="146"/>
      <c r="AH20" s="106" t="str">
        <f>'[4]Opolski'!E20</f>
        <v>-</v>
      </c>
      <c r="AI20" s="145"/>
      <c r="AJ20" s="146"/>
      <c r="AK20" s="106" t="str">
        <f>'[4]Podkarpacki'!E20</f>
        <v>-</v>
      </c>
      <c r="AL20" s="145"/>
      <c r="AM20" s="146"/>
      <c r="AN20" s="106" t="str">
        <f>'[4]Podlaski'!E20</f>
        <v>-</v>
      </c>
      <c r="AO20" s="145"/>
      <c r="AP20" s="146"/>
      <c r="AQ20" s="106" t="str">
        <f>'[4]Pomorski'!E20</f>
        <v>-</v>
      </c>
      <c r="AR20" s="145"/>
      <c r="AS20" s="146"/>
      <c r="AT20" s="106" t="str">
        <f>'[4]Śląski'!E20</f>
        <v>-</v>
      </c>
      <c r="AU20" s="145"/>
      <c r="AV20" s="146"/>
      <c r="AW20" s="106" t="str">
        <f>'[4]Świętokrzyski'!E20</f>
        <v>-</v>
      </c>
      <c r="AX20" s="145"/>
      <c r="AY20" s="146"/>
      <c r="AZ20" s="106" t="str">
        <f>'[4]WarmińskoMazurski'!E20</f>
        <v>-</v>
      </c>
      <c r="BA20" s="145"/>
      <c r="BB20" s="146"/>
      <c r="BC20" s="106" t="str">
        <f>'[4]Wielkopolski'!E20</f>
        <v>-</v>
      </c>
      <c r="BD20" s="145"/>
      <c r="BE20" s="146"/>
      <c r="BF20" s="106" t="str">
        <f>'[4]Zachodniopomorski'!E20</f>
        <v>-</v>
      </c>
      <c r="BG20" s="145"/>
    </row>
    <row r="21" spans="1:59" ht="40.5" hidden="1">
      <c r="A21" s="137" t="s">
        <v>14</v>
      </c>
      <c r="B21" s="151" t="s">
        <v>13</v>
      </c>
      <c r="C21" s="152"/>
      <c r="D21" s="46"/>
      <c r="E21" s="153"/>
      <c r="F21" s="152"/>
      <c r="G21" s="107" t="str">
        <f>'[4]CENTRALA'!E21</f>
        <v>-</v>
      </c>
      <c r="H21" s="143"/>
      <c r="I21" s="144"/>
      <c r="J21" s="107">
        <f t="shared" si="0"/>
        <v>0</v>
      </c>
      <c r="K21" s="143"/>
      <c r="L21" s="144"/>
      <c r="M21" s="106" t="str">
        <f>'[4]Dolnośląski'!E21</f>
        <v>-</v>
      </c>
      <c r="N21" s="145"/>
      <c r="O21" s="146"/>
      <c r="P21" s="106" t="str">
        <f>'[4]KujawskoPomorski'!E21</f>
        <v>-</v>
      </c>
      <c r="Q21" s="145"/>
      <c r="R21" s="146"/>
      <c r="S21" s="106" t="str">
        <f>'[4]Lubelski'!E21</f>
        <v>-</v>
      </c>
      <c r="T21" s="145"/>
      <c r="U21" s="146"/>
      <c r="V21" s="106" t="str">
        <f>'[4]Lubuski'!E21</f>
        <v>-</v>
      </c>
      <c r="W21" s="145"/>
      <c r="X21" s="146"/>
      <c r="Y21" s="106" t="str">
        <f>'[4]Łódzki'!E21</f>
        <v>-</v>
      </c>
      <c r="Z21" s="145"/>
      <c r="AA21" s="146"/>
      <c r="AB21" s="106" t="str">
        <f>'[4]Małopolski'!E21</f>
        <v>-</v>
      </c>
      <c r="AC21" s="145"/>
      <c r="AD21" s="146"/>
      <c r="AE21" s="106" t="str">
        <f>'[4]Mazowiecki'!E21</f>
        <v>-</v>
      </c>
      <c r="AF21" s="145"/>
      <c r="AG21" s="146"/>
      <c r="AH21" s="106" t="str">
        <f>'[4]Opolski'!E21</f>
        <v>-</v>
      </c>
      <c r="AI21" s="145"/>
      <c r="AJ21" s="146"/>
      <c r="AK21" s="106" t="str">
        <f>'[4]Podkarpacki'!E21</f>
        <v>-</v>
      </c>
      <c r="AL21" s="145"/>
      <c r="AM21" s="146"/>
      <c r="AN21" s="106" t="str">
        <f>'[4]Podlaski'!E21</f>
        <v>-</v>
      </c>
      <c r="AO21" s="145"/>
      <c r="AP21" s="146"/>
      <c r="AQ21" s="106" t="str">
        <f>'[4]Pomorski'!E21</f>
        <v>-</v>
      </c>
      <c r="AR21" s="145"/>
      <c r="AS21" s="146"/>
      <c r="AT21" s="106" t="str">
        <f>'[4]Śląski'!E21</f>
        <v>-</v>
      </c>
      <c r="AU21" s="145"/>
      <c r="AV21" s="146"/>
      <c r="AW21" s="106" t="str">
        <f>'[4]Świętokrzyski'!E21</f>
        <v>-</v>
      </c>
      <c r="AX21" s="145"/>
      <c r="AY21" s="146"/>
      <c r="AZ21" s="106" t="str">
        <f>'[4]WarmińskoMazurski'!E21</f>
        <v>-</v>
      </c>
      <c r="BA21" s="145"/>
      <c r="BB21" s="146"/>
      <c r="BC21" s="106" t="str">
        <f>'[4]Wielkopolski'!E21</f>
        <v>-</v>
      </c>
      <c r="BD21" s="145"/>
      <c r="BE21" s="146"/>
      <c r="BF21" s="106" t="str">
        <f>'[4]Zachodniopomorski'!E21</f>
        <v>-</v>
      </c>
      <c r="BG21" s="145"/>
    </row>
    <row r="22" spans="1:59" ht="40.5" hidden="1">
      <c r="A22" s="154" t="s">
        <v>15</v>
      </c>
      <c r="B22" s="138" t="s">
        <v>175</v>
      </c>
      <c r="C22" s="139"/>
      <c r="D22" s="102"/>
      <c r="E22" s="140"/>
      <c r="F22" s="139"/>
      <c r="G22" s="107" t="str">
        <f>'[4]CENTRALA'!E22</f>
        <v>-</v>
      </c>
      <c r="H22" s="143"/>
      <c r="I22" s="144"/>
      <c r="J22" s="107">
        <f t="shared" si="0"/>
        <v>0</v>
      </c>
      <c r="K22" s="143"/>
      <c r="L22" s="144"/>
      <c r="M22" s="106" t="str">
        <f>'[4]Dolnośląski'!E22</f>
        <v>-</v>
      </c>
      <c r="N22" s="145"/>
      <c r="O22" s="146"/>
      <c r="P22" s="106" t="str">
        <f>'[4]KujawskoPomorski'!E22</f>
        <v>-</v>
      </c>
      <c r="Q22" s="145"/>
      <c r="R22" s="146"/>
      <c r="S22" s="106" t="str">
        <f>'[4]Lubelski'!E22</f>
        <v>-</v>
      </c>
      <c r="T22" s="145"/>
      <c r="U22" s="146"/>
      <c r="V22" s="106" t="str">
        <f>'[4]Lubuski'!E22</f>
        <v>-</v>
      </c>
      <c r="W22" s="145"/>
      <c r="X22" s="146"/>
      <c r="Y22" s="106" t="str">
        <f>'[4]Łódzki'!E22</f>
        <v>-</v>
      </c>
      <c r="Z22" s="145"/>
      <c r="AA22" s="146"/>
      <c r="AB22" s="106" t="str">
        <f>'[4]Małopolski'!E22</f>
        <v>-</v>
      </c>
      <c r="AC22" s="145"/>
      <c r="AD22" s="146"/>
      <c r="AE22" s="106" t="str">
        <f>'[4]Mazowiecki'!E22</f>
        <v>-</v>
      </c>
      <c r="AF22" s="145"/>
      <c r="AG22" s="146"/>
      <c r="AH22" s="106" t="str">
        <f>'[4]Opolski'!E22</f>
        <v>-</v>
      </c>
      <c r="AI22" s="145"/>
      <c r="AJ22" s="146"/>
      <c r="AK22" s="106" t="str">
        <f>'[4]Podkarpacki'!E22</f>
        <v>-</v>
      </c>
      <c r="AL22" s="145"/>
      <c r="AM22" s="146"/>
      <c r="AN22" s="106" t="str">
        <f>'[4]Podlaski'!E22</f>
        <v>-</v>
      </c>
      <c r="AO22" s="145"/>
      <c r="AP22" s="146"/>
      <c r="AQ22" s="106" t="str">
        <f>'[4]Pomorski'!E22</f>
        <v>-</v>
      </c>
      <c r="AR22" s="145"/>
      <c r="AS22" s="146"/>
      <c r="AT22" s="106" t="str">
        <f>'[4]Śląski'!E22</f>
        <v>-</v>
      </c>
      <c r="AU22" s="145"/>
      <c r="AV22" s="146"/>
      <c r="AW22" s="106" t="str">
        <f>'[4]Świętokrzyski'!E22</f>
        <v>-</v>
      </c>
      <c r="AX22" s="145"/>
      <c r="AY22" s="146"/>
      <c r="AZ22" s="106" t="str">
        <f>'[4]WarmińskoMazurski'!E22</f>
        <v>-</v>
      </c>
      <c r="BA22" s="145"/>
      <c r="BB22" s="146"/>
      <c r="BC22" s="106" t="str">
        <f>'[4]Wielkopolski'!E22</f>
        <v>-</v>
      </c>
      <c r="BD22" s="145"/>
      <c r="BE22" s="146"/>
      <c r="BF22" s="106" t="str">
        <f>'[4]Zachodniopomorski'!E22</f>
        <v>-</v>
      </c>
      <c r="BG22" s="145"/>
    </row>
    <row r="23" spans="1:59" ht="20.25" hidden="1">
      <c r="A23" s="155" t="s">
        <v>180</v>
      </c>
      <c r="B23" s="148" t="s">
        <v>66</v>
      </c>
      <c r="C23" s="149"/>
      <c r="D23" s="45"/>
      <c r="E23" s="150"/>
      <c r="F23" s="149"/>
      <c r="G23" s="107" t="str">
        <f>'[4]CENTRALA'!E23</f>
        <v>-</v>
      </c>
      <c r="H23" s="143"/>
      <c r="I23" s="144"/>
      <c r="J23" s="107">
        <f t="shared" si="0"/>
        <v>0</v>
      </c>
      <c r="K23" s="143"/>
      <c r="L23" s="144"/>
      <c r="M23" s="106" t="str">
        <f>'[4]Dolnośląski'!E23</f>
        <v>-</v>
      </c>
      <c r="N23" s="145"/>
      <c r="O23" s="146"/>
      <c r="P23" s="106" t="str">
        <f>'[4]KujawskoPomorski'!E23</f>
        <v>-</v>
      </c>
      <c r="Q23" s="145"/>
      <c r="R23" s="146"/>
      <c r="S23" s="106" t="str">
        <f>'[4]Lubelski'!E23</f>
        <v>-</v>
      </c>
      <c r="T23" s="145"/>
      <c r="U23" s="146"/>
      <c r="V23" s="106" t="str">
        <f>'[4]Lubuski'!E23</f>
        <v>-</v>
      </c>
      <c r="W23" s="145"/>
      <c r="X23" s="146"/>
      <c r="Y23" s="106" t="str">
        <f>'[4]Łódzki'!E23</f>
        <v>-</v>
      </c>
      <c r="Z23" s="145"/>
      <c r="AA23" s="146"/>
      <c r="AB23" s="106" t="str">
        <f>'[4]Małopolski'!E23</f>
        <v>-</v>
      </c>
      <c r="AC23" s="145"/>
      <c r="AD23" s="146"/>
      <c r="AE23" s="106" t="str">
        <f>'[4]Mazowiecki'!E23</f>
        <v>-</v>
      </c>
      <c r="AF23" s="145"/>
      <c r="AG23" s="146"/>
      <c r="AH23" s="106" t="str">
        <f>'[4]Opolski'!E23</f>
        <v>-</v>
      </c>
      <c r="AI23" s="145"/>
      <c r="AJ23" s="146"/>
      <c r="AK23" s="106" t="str">
        <f>'[4]Podkarpacki'!E23</f>
        <v>-</v>
      </c>
      <c r="AL23" s="145"/>
      <c r="AM23" s="146"/>
      <c r="AN23" s="106" t="str">
        <f>'[4]Podlaski'!E23</f>
        <v>-</v>
      </c>
      <c r="AO23" s="145"/>
      <c r="AP23" s="146"/>
      <c r="AQ23" s="106" t="str">
        <f>'[4]Pomorski'!E23</f>
        <v>-</v>
      </c>
      <c r="AR23" s="145"/>
      <c r="AS23" s="146"/>
      <c r="AT23" s="106" t="str">
        <f>'[4]Śląski'!E23</f>
        <v>-</v>
      </c>
      <c r="AU23" s="145"/>
      <c r="AV23" s="146"/>
      <c r="AW23" s="106" t="str">
        <f>'[4]Świętokrzyski'!E23</f>
        <v>-</v>
      </c>
      <c r="AX23" s="145"/>
      <c r="AY23" s="146"/>
      <c r="AZ23" s="106" t="str">
        <f>'[4]WarmińskoMazurski'!E23</f>
        <v>-</v>
      </c>
      <c r="BA23" s="145"/>
      <c r="BB23" s="146"/>
      <c r="BC23" s="106" t="str">
        <f>'[4]Wielkopolski'!E23</f>
        <v>-</v>
      </c>
      <c r="BD23" s="145"/>
      <c r="BE23" s="146"/>
      <c r="BF23" s="106" t="str">
        <f>'[4]Zachodniopomorski'!E23</f>
        <v>-</v>
      </c>
      <c r="BG23" s="145"/>
    </row>
    <row r="24" spans="1:59" ht="40.5" hidden="1">
      <c r="A24" s="156" t="s">
        <v>16</v>
      </c>
      <c r="B24" s="157" t="s">
        <v>140</v>
      </c>
      <c r="C24" s="158"/>
      <c r="D24" s="47"/>
      <c r="E24" s="159"/>
      <c r="F24" s="158"/>
      <c r="G24" s="107">
        <f>'[4]CENTRALA'!E24</f>
        <v>-176230</v>
      </c>
      <c r="H24" s="143"/>
      <c r="I24" s="144"/>
      <c r="J24" s="107">
        <f t="shared" si="0"/>
        <v>0</v>
      </c>
      <c r="K24" s="143"/>
      <c r="L24" s="144"/>
      <c r="M24" s="106" t="str">
        <f>'[4]Dolnośląski'!E24</f>
        <v>-</v>
      </c>
      <c r="N24" s="145"/>
      <c r="O24" s="146"/>
      <c r="P24" s="106" t="str">
        <f>'[4]KujawskoPomorski'!E24</f>
        <v>-</v>
      </c>
      <c r="Q24" s="145"/>
      <c r="R24" s="146"/>
      <c r="S24" s="106" t="str">
        <f>'[4]Lubelski'!E24</f>
        <v>-</v>
      </c>
      <c r="T24" s="145"/>
      <c r="U24" s="146"/>
      <c r="V24" s="106" t="str">
        <f>'[4]Lubuski'!E24</f>
        <v>-</v>
      </c>
      <c r="W24" s="145"/>
      <c r="X24" s="146"/>
      <c r="Y24" s="106" t="str">
        <f>'[4]Łódzki'!E24</f>
        <v>-</v>
      </c>
      <c r="Z24" s="145"/>
      <c r="AA24" s="146"/>
      <c r="AB24" s="106" t="str">
        <f>'[4]Małopolski'!E24</f>
        <v>-</v>
      </c>
      <c r="AC24" s="145"/>
      <c r="AD24" s="146"/>
      <c r="AE24" s="106" t="str">
        <f>'[4]Mazowiecki'!E24</f>
        <v>-</v>
      </c>
      <c r="AF24" s="145"/>
      <c r="AG24" s="146"/>
      <c r="AH24" s="106" t="str">
        <f>'[4]Opolski'!E24</f>
        <v>-</v>
      </c>
      <c r="AI24" s="145"/>
      <c r="AJ24" s="146"/>
      <c r="AK24" s="106" t="str">
        <f>'[4]Podkarpacki'!E24</f>
        <v>-</v>
      </c>
      <c r="AL24" s="145"/>
      <c r="AM24" s="146"/>
      <c r="AN24" s="106" t="str">
        <f>'[4]Podlaski'!E24</f>
        <v>-</v>
      </c>
      <c r="AO24" s="145"/>
      <c r="AP24" s="146"/>
      <c r="AQ24" s="106" t="str">
        <f>'[4]Pomorski'!E24</f>
        <v>-</v>
      </c>
      <c r="AR24" s="145"/>
      <c r="AS24" s="146"/>
      <c r="AT24" s="106" t="str">
        <f>'[4]Śląski'!E24</f>
        <v>-</v>
      </c>
      <c r="AU24" s="145"/>
      <c r="AV24" s="146"/>
      <c r="AW24" s="106" t="str">
        <f>'[4]Świętokrzyski'!E24</f>
        <v>-</v>
      </c>
      <c r="AX24" s="145"/>
      <c r="AY24" s="146"/>
      <c r="AZ24" s="106" t="str">
        <f>'[4]WarmińskoMazurski'!E24</f>
        <v>-</v>
      </c>
      <c r="BA24" s="145"/>
      <c r="BB24" s="146"/>
      <c r="BC24" s="106" t="str">
        <f>'[4]Wielkopolski'!E24</f>
        <v>-</v>
      </c>
      <c r="BD24" s="145"/>
      <c r="BE24" s="146"/>
      <c r="BF24" s="106" t="str">
        <f>'[4]Zachodniopomorski'!E24</f>
        <v>-</v>
      </c>
      <c r="BG24" s="145"/>
    </row>
    <row r="25" spans="1:59" ht="40.5" hidden="1">
      <c r="A25" s="156" t="s">
        <v>137</v>
      </c>
      <c r="B25" s="160" t="s">
        <v>60</v>
      </c>
      <c r="C25" s="161"/>
      <c r="D25" s="48"/>
      <c r="E25" s="162"/>
      <c r="F25" s="161"/>
      <c r="G25" s="107" t="str">
        <f>'[4]CENTRALA'!E25</f>
        <v>-</v>
      </c>
      <c r="H25" s="143"/>
      <c r="I25" s="144"/>
      <c r="J25" s="107">
        <f t="shared" si="0"/>
        <v>0</v>
      </c>
      <c r="K25" s="143"/>
      <c r="L25" s="144"/>
      <c r="M25" s="106" t="str">
        <f>'[4]Dolnośląski'!E25</f>
        <v>-</v>
      </c>
      <c r="N25" s="145"/>
      <c r="O25" s="146"/>
      <c r="P25" s="106" t="str">
        <f>'[4]KujawskoPomorski'!E25</f>
        <v>-</v>
      </c>
      <c r="Q25" s="145"/>
      <c r="R25" s="146"/>
      <c r="S25" s="106" t="str">
        <f>'[4]Lubelski'!E25</f>
        <v>-</v>
      </c>
      <c r="T25" s="145"/>
      <c r="U25" s="146"/>
      <c r="V25" s="106" t="str">
        <f>'[4]Lubuski'!E25</f>
        <v>-</v>
      </c>
      <c r="W25" s="145"/>
      <c r="X25" s="146"/>
      <c r="Y25" s="106" t="str">
        <f>'[4]Łódzki'!E25</f>
        <v>-</v>
      </c>
      <c r="Z25" s="145"/>
      <c r="AA25" s="146"/>
      <c r="AB25" s="106" t="str">
        <f>'[4]Małopolski'!E25</f>
        <v>-</v>
      </c>
      <c r="AC25" s="145"/>
      <c r="AD25" s="146"/>
      <c r="AE25" s="106" t="str">
        <f>'[4]Mazowiecki'!E25</f>
        <v>-</v>
      </c>
      <c r="AF25" s="145"/>
      <c r="AG25" s="146"/>
      <c r="AH25" s="106" t="str">
        <f>'[4]Opolski'!E25</f>
        <v>-</v>
      </c>
      <c r="AI25" s="145"/>
      <c r="AJ25" s="146"/>
      <c r="AK25" s="106" t="str">
        <f>'[4]Podkarpacki'!E25</f>
        <v>-</v>
      </c>
      <c r="AL25" s="145"/>
      <c r="AM25" s="146"/>
      <c r="AN25" s="106" t="str">
        <f>'[4]Podlaski'!E25</f>
        <v>-</v>
      </c>
      <c r="AO25" s="145"/>
      <c r="AP25" s="146"/>
      <c r="AQ25" s="106" t="str">
        <f>'[4]Pomorski'!E25</f>
        <v>-</v>
      </c>
      <c r="AR25" s="145"/>
      <c r="AS25" s="146"/>
      <c r="AT25" s="106" t="str">
        <f>'[4]Śląski'!E25</f>
        <v>-</v>
      </c>
      <c r="AU25" s="145"/>
      <c r="AV25" s="146"/>
      <c r="AW25" s="106" t="str">
        <f>'[4]Świętokrzyski'!E25</f>
        <v>-</v>
      </c>
      <c r="AX25" s="145"/>
      <c r="AY25" s="146"/>
      <c r="AZ25" s="106" t="str">
        <f>'[4]WarmińskoMazurski'!E25</f>
        <v>-</v>
      </c>
      <c r="BA25" s="145"/>
      <c r="BB25" s="146"/>
      <c r="BC25" s="106" t="str">
        <f>'[4]Wielkopolski'!E25</f>
        <v>-</v>
      </c>
      <c r="BD25" s="145"/>
      <c r="BE25" s="146"/>
      <c r="BF25" s="106" t="str">
        <f>'[4]Zachodniopomorski'!E25</f>
        <v>-</v>
      </c>
      <c r="BG25" s="145"/>
    </row>
    <row r="26" spans="1:59" ht="40.5" hidden="1">
      <c r="A26" s="156" t="s">
        <v>138</v>
      </c>
      <c r="B26" s="160" t="s">
        <v>141</v>
      </c>
      <c r="C26" s="161"/>
      <c r="D26" s="48"/>
      <c r="E26" s="162"/>
      <c r="F26" s="161"/>
      <c r="G26" s="107" t="str">
        <f>'[4]CENTRALA'!E26</f>
        <v>-</v>
      </c>
      <c r="H26" s="143"/>
      <c r="I26" s="144"/>
      <c r="J26" s="107">
        <f t="shared" si="0"/>
        <v>0</v>
      </c>
      <c r="K26" s="143"/>
      <c r="L26" s="144"/>
      <c r="M26" s="106" t="str">
        <f>'[4]Dolnośląski'!E26</f>
        <v>-</v>
      </c>
      <c r="N26" s="145"/>
      <c r="O26" s="146"/>
      <c r="P26" s="106" t="str">
        <f>'[4]KujawskoPomorski'!E26</f>
        <v>-</v>
      </c>
      <c r="Q26" s="145"/>
      <c r="R26" s="146"/>
      <c r="S26" s="106" t="str">
        <f>'[4]Lubelski'!E26</f>
        <v>-</v>
      </c>
      <c r="T26" s="145"/>
      <c r="U26" s="146"/>
      <c r="V26" s="106" t="str">
        <f>'[4]Lubuski'!E26</f>
        <v>-</v>
      </c>
      <c r="W26" s="145"/>
      <c r="X26" s="146"/>
      <c r="Y26" s="106" t="str">
        <f>'[4]Łódzki'!E26</f>
        <v>-</v>
      </c>
      <c r="Z26" s="145"/>
      <c r="AA26" s="146"/>
      <c r="AB26" s="106" t="str">
        <f>'[4]Małopolski'!E26</f>
        <v>-</v>
      </c>
      <c r="AC26" s="145"/>
      <c r="AD26" s="146"/>
      <c r="AE26" s="106" t="str">
        <f>'[4]Mazowiecki'!E26</f>
        <v>-</v>
      </c>
      <c r="AF26" s="145"/>
      <c r="AG26" s="146"/>
      <c r="AH26" s="106" t="str">
        <f>'[4]Opolski'!E26</f>
        <v>-</v>
      </c>
      <c r="AI26" s="145"/>
      <c r="AJ26" s="146"/>
      <c r="AK26" s="106" t="str">
        <f>'[4]Podkarpacki'!E26</f>
        <v>-</v>
      </c>
      <c r="AL26" s="145"/>
      <c r="AM26" s="146"/>
      <c r="AN26" s="106" t="str">
        <f>'[4]Podlaski'!E26</f>
        <v>-</v>
      </c>
      <c r="AO26" s="145"/>
      <c r="AP26" s="146"/>
      <c r="AQ26" s="106" t="str">
        <f>'[4]Pomorski'!E26</f>
        <v>-</v>
      </c>
      <c r="AR26" s="145"/>
      <c r="AS26" s="146"/>
      <c r="AT26" s="106" t="str">
        <f>'[4]Śląski'!E26</f>
        <v>-</v>
      </c>
      <c r="AU26" s="145"/>
      <c r="AV26" s="146"/>
      <c r="AW26" s="106" t="str">
        <f>'[4]Świętokrzyski'!E26</f>
        <v>-</v>
      </c>
      <c r="AX26" s="145"/>
      <c r="AY26" s="146"/>
      <c r="AZ26" s="106" t="str">
        <f>'[4]WarmińskoMazurski'!E26</f>
        <v>-</v>
      </c>
      <c r="BA26" s="145"/>
      <c r="BB26" s="146"/>
      <c r="BC26" s="106" t="str">
        <f>'[4]Wielkopolski'!E26</f>
        <v>-</v>
      </c>
      <c r="BD26" s="145"/>
      <c r="BE26" s="146"/>
      <c r="BF26" s="106" t="str">
        <f>'[4]Zachodniopomorski'!E26</f>
        <v>-</v>
      </c>
      <c r="BG26" s="145"/>
    </row>
    <row r="27" spans="1:59" ht="40.5" hidden="1">
      <c r="A27" s="156" t="s">
        <v>139</v>
      </c>
      <c r="B27" s="160" t="s">
        <v>142</v>
      </c>
      <c r="C27" s="161"/>
      <c r="D27" s="48"/>
      <c r="E27" s="162"/>
      <c r="F27" s="161"/>
      <c r="G27" s="107" t="str">
        <f>'[4]CENTRALA'!E27</f>
        <v>-</v>
      </c>
      <c r="H27" s="143"/>
      <c r="I27" s="144"/>
      <c r="J27" s="107">
        <f t="shared" si="0"/>
        <v>0</v>
      </c>
      <c r="K27" s="143"/>
      <c r="L27" s="144"/>
      <c r="M27" s="106" t="str">
        <f>'[4]Dolnośląski'!E27</f>
        <v>-</v>
      </c>
      <c r="N27" s="145"/>
      <c r="O27" s="146"/>
      <c r="P27" s="106" t="str">
        <f>'[4]KujawskoPomorski'!E27</f>
        <v>-</v>
      </c>
      <c r="Q27" s="145"/>
      <c r="R27" s="146"/>
      <c r="S27" s="106" t="str">
        <f>'[4]Lubelski'!E27</f>
        <v>-</v>
      </c>
      <c r="T27" s="145"/>
      <c r="U27" s="146"/>
      <c r="V27" s="106" t="str">
        <f>'[4]Lubuski'!E27</f>
        <v>-</v>
      </c>
      <c r="W27" s="145"/>
      <c r="X27" s="146"/>
      <c r="Y27" s="106" t="str">
        <f>'[4]Łódzki'!E27</f>
        <v>-</v>
      </c>
      <c r="Z27" s="145"/>
      <c r="AA27" s="146"/>
      <c r="AB27" s="106" t="str">
        <f>'[4]Małopolski'!E27</f>
        <v>-</v>
      </c>
      <c r="AC27" s="145"/>
      <c r="AD27" s="146"/>
      <c r="AE27" s="106" t="str">
        <f>'[4]Mazowiecki'!E27</f>
        <v>-</v>
      </c>
      <c r="AF27" s="145"/>
      <c r="AG27" s="146"/>
      <c r="AH27" s="106" t="str">
        <f>'[4]Opolski'!E27</f>
        <v>-</v>
      </c>
      <c r="AI27" s="145"/>
      <c r="AJ27" s="146"/>
      <c r="AK27" s="106" t="str">
        <f>'[4]Podkarpacki'!E27</f>
        <v>-</v>
      </c>
      <c r="AL27" s="145"/>
      <c r="AM27" s="146"/>
      <c r="AN27" s="106" t="str">
        <f>'[4]Podlaski'!E27</f>
        <v>-</v>
      </c>
      <c r="AO27" s="145"/>
      <c r="AP27" s="146"/>
      <c r="AQ27" s="106" t="str">
        <f>'[4]Pomorski'!E27</f>
        <v>-</v>
      </c>
      <c r="AR27" s="145"/>
      <c r="AS27" s="146"/>
      <c r="AT27" s="106" t="str">
        <f>'[4]Śląski'!E27</f>
        <v>-</v>
      </c>
      <c r="AU27" s="145"/>
      <c r="AV27" s="146"/>
      <c r="AW27" s="106" t="str">
        <f>'[4]Świętokrzyski'!E27</f>
        <v>-</v>
      </c>
      <c r="AX27" s="145"/>
      <c r="AY27" s="146"/>
      <c r="AZ27" s="106" t="str">
        <f>'[4]WarmińskoMazurski'!E27</f>
        <v>-</v>
      </c>
      <c r="BA27" s="145"/>
      <c r="BB27" s="146"/>
      <c r="BC27" s="106" t="str">
        <f>'[4]Wielkopolski'!E27</f>
        <v>-</v>
      </c>
      <c r="BD27" s="145"/>
      <c r="BE27" s="146"/>
      <c r="BF27" s="106" t="str">
        <f>'[4]Zachodniopomorski'!E27</f>
        <v>-</v>
      </c>
      <c r="BG27" s="145"/>
    </row>
    <row r="28" spans="1:59" s="5" customFormat="1" ht="40.5" hidden="1">
      <c r="A28" s="163" t="s">
        <v>68</v>
      </c>
      <c r="B28" s="164" t="s">
        <v>69</v>
      </c>
      <c r="C28" s="165"/>
      <c r="D28" s="49"/>
      <c r="E28" s="166"/>
      <c r="F28" s="165"/>
      <c r="G28" s="107" t="str">
        <f>'[4]CENTRALA'!E28</f>
        <v>-</v>
      </c>
      <c r="H28" s="143"/>
      <c r="I28" s="144"/>
      <c r="J28" s="107">
        <f t="shared" si="0"/>
        <v>0</v>
      </c>
      <c r="K28" s="143"/>
      <c r="L28" s="144"/>
      <c r="M28" s="106" t="str">
        <f>'[4]Dolnośląski'!E28</f>
        <v>-</v>
      </c>
      <c r="N28" s="145"/>
      <c r="O28" s="146"/>
      <c r="P28" s="106" t="str">
        <f>'[4]KujawskoPomorski'!E28</f>
        <v>-</v>
      </c>
      <c r="Q28" s="145"/>
      <c r="R28" s="146"/>
      <c r="S28" s="106" t="str">
        <f>'[4]Lubelski'!E28</f>
        <v>-</v>
      </c>
      <c r="T28" s="145"/>
      <c r="U28" s="146"/>
      <c r="V28" s="106" t="str">
        <f>'[4]Lubuski'!E28</f>
        <v>-</v>
      </c>
      <c r="W28" s="145"/>
      <c r="X28" s="146"/>
      <c r="Y28" s="106" t="str">
        <f>'[4]Łódzki'!E28</f>
        <v>-</v>
      </c>
      <c r="Z28" s="145"/>
      <c r="AA28" s="146"/>
      <c r="AB28" s="106" t="str">
        <f>'[4]Małopolski'!E28</f>
        <v>-</v>
      </c>
      <c r="AC28" s="145"/>
      <c r="AD28" s="146"/>
      <c r="AE28" s="106" t="str">
        <f>'[4]Mazowiecki'!E28</f>
        <v>-</v>
      </c>
      <c r="AF28" s="145"/>
      <c r="AG28" s="146"/>
      <c r="AH28" s="106" t="str">
        <f>'[4]Opolski'!E28</f>
        <v>-</v>
      </c>
      <c r="AI28" s="145"/>
      <c r="AJ28" s="146"/>
      <c r="AK28" s="106" t="str">
        <f>'[4]Podkarpacki'!E28</f>
        <v>-</v>
      </c>
      <c r="AL28" s="145"/>
      <c r="AM28" s="146"/>
      <c r="AN28" s="106" t="str">
        <f>'[4]Podlaski'!E28</f>
        <v>-</v>
      </c>
      <c r="AO28" s="145"/>
      <c r="AP28" s="146"/>
      <c r="AQ28" s="106" t="str">
        <f>'[4]Pomorski'!E28</f>
        <v>-</v>
      </c>
      <c r="AR28" s="145"/>
      <c r="AS28" s="146"/>
      <c r="AT28" s="106" t="str">
        <f>'[4]Śląski'!E28</f>
        <v>-</v>
      </c>
      <c r="AU28" s="145"/>
      <c r="AV28" s="146"/>
      <c r="AW28" s="106" t="str">
        <f>'[4]Świętokrzyski'!E28</f>
        <v>-</v>
      </c>
      <c r="AX28" s="145"/>
      <c r="AY28" s="146"/>
      <c r="AZ28" s="106" t="str">
        <f>'[4]WarmińskoMazurski'!E28</f>
        <v>-</v>
      </c>
      <c r="BA28" s="145"/>
      <c r="BB28" s="146"/>
      <c r="BC28" s="106" t="str">
        <f>'[4]Wielkopolski'!E28</f>
        <v>-</v>
      </c>
      <c r="BD28" s="145"/>
      <c r="BE28" s="146"/>
      <c r="BF28" s="106" t="str">
        <f>'[4]Zachodniopomorski'!E28</f>
        <v>-</v>
      </c>
      <c r="BG28" s="145"/>
    </row>
    <row r="29" spans="1:59" s="5" customFormat="1" ht="40.5" hidden="1">
      <c r="A29" s="163" t="s">
        <v>67</v>
      </c>
      <c r="B29" s="164" t="s">
        <v>70</v>
      </c>
      <c r="C29" s="165"/>
      <c r="D29" s="49"/>
      <c r="E29" s="166"/>
      <c r="F29" s="165"/>
      <c r="G29" s="107" t="str">
        <f>'[4]CENTRALA'!E29</f>
        <v>-</v>
      </c>
      <c r="H29" s="143"/>
      <c r="I29" s="144"/>
      <c r="J29" s="107">
        <f t="shared" si="0"/>
        <v>0</v>
      </c>
      <c r="K29" s="143"/>
      <c r="L29" s="144"/>
      <c r="M29" s="106" t="str">
        <f>'[4]Dolnośląski'!E29</f>
        <v>-</v>
      </c>
      <c r="N29" s="145"/>
      <c r="O29" s="146"/>
      <c r="P29" s="106" t="str">
        <f>'[4]KujawskoPomorski'!E29</f>
        <v>-</v>
      </c>
      <c r="Q29" s="145"/>
      <c r="R29" s="146"/>
      <c r="S29" s="106" t="str">
        <f>'[4]Lubelski'!E29</f>
        <v>-</v>
      </c>
      <c r="T29" s="145"/>
      <c r="U29" s="146"/>
      <c r="V29" s="106" t="str">
        <f>'[4]Lubuski'!E29</f>
        <v>-</v>
      </c>
      <c r="W29" s="145"/>
      <c r="X29" s="146"/>
      <c r="Y29" s="106" t="str">
        <f>'[4]Łódzki'!E29</f>
        <v>-</v>
      </c>
      <c r="Z29" s="145"/>
      <c r="AA29" s="146"/>
      <c r="AB29" s="106" t="str">
        <f>'[4]Małopolski'!E29</f>
        <v>-</v>
      </c>
      <c r="AC29" s="145"/>
      <c r="AD29" s="146"/>
      <c r="AE29" s="106" t="str">
        <f>'[4]Mazowiecki'!E29</f>
        <v>-</v>
      </c>
      <c r="AF29" s="145"/>
      <c r="AG29" s="146"/>
      <c r="AH29" s="106" t="str">
        <f>'[4]Opolski'!E29</f>
        <v>-</v>
      </c>
      <c r="AI29" s="145"/>
      <c r="AJ29" s="146"/>
      <c r="AK29" s="106" t="str">
        <f>'[4]Podkarpacki'!E29</f>
        <v>-</v>
      </c>
      <c r="AL29" s="145"/>
      <c r="AM29" s="146"/>
      <c r="AN29" s="106" t="str">
        <f>'[4]Podlaski'!E29</f>
        <v>-</v>
      </c>
      <c r="AO29" s="145"/>
      <c r="AP29" s="146"/>
      <c r="AQ29" s="106" t="str">
        <f>'[4]Pomorski'!E29</f>
        <v>-</v>
      </c>
      <c r="AR29" s="145"/>
      <c r="AS29" s="146"/>
      <c r="AT29" s="106" t="str">
        <f>'[4]Śląski'!E29</f>
        <v>-</v>
      </c>
      <c r="AU29" s="145"/>
      <c r="AV29" s="146"/>
      <c r="AW29" s="106" t="str">
        <f>'[4]Świętokrzyski'!E29</f>
        <v>-</v>
      </c>
      <c r="AX29" s="145"/>
      <c r="AY29" s="146"/>
      <c r="AZ29" s="106" t="str">
        <f>'[4]WarmińskoMazurski'!E29</f>
        <v>-</v>
      </c>
      <c r="BA29" s="145"/>
      <c r="BB29" s="146"/>
      <c r="BC29" s="106" t="str">
        <f>'[4]Wielkopolski'!E29</f>
        <v>-</v>
      </c>
      <c r="BD29" s="145"/>
      <c r="BE29" s="146"/>
      <c r="BF29" s="106" t="str">
        <f>'[4]Zachodniopomorski'!E29</f>
        <v>-</v>
      </c>
      <c r="BG29" s="145"/>
    </row>
    <row r="30" spans="1:59" s="3" customFormat="1" ht="20.25" hidden="1">
      <c r="A30" s="167" t="s">
        <v>17</v>
      </c>
      <c r="B30" s="168" t="s">
        <v>18</v>
      </c>
      <c r="C30" s="169"/>
      <c r="D30" s="57"/>
      <c r="E30" s="170"/>
      <c r="F30" s="169"/>
      <c r="G30" s="112">
        <f>'[4]CENTRALA'!E30</f>
        <v>-51</v>
      </c>
      <c r="H30" s="171"/>
      <c r="I30" s="172"/>
      <c r="J30" s="112">
        <f t="shared" si="0"/>
        <v>100</v>
      </c>
      <c r="K30" s="171"/>
      <c r="L30" s="172"/>
      <c r="M30" s="113" t="str">
        <f>'[4]Dolnośląski'!E30</f>
        <v>-</v>
      </c>
      <c r="N30" s="173"/>
      <c r="O30" s="174"/>
      <c r="P30" s="113" t="str">
        <f>'[4]KujawskoPomorski'!E30</f>
        <v>-</v>
      </c>
      <c r="Q30" s="173"/>
      <c r="R30" s="174"/>
      <c r="S30" s="113" t="str">
        <f>'[4]Lubelski'!E30</f>
        <v>-</v>
      </c>
      <c r="T30" s="173"/>
      <c r="U30" s="174"/>
      <c r="V30" s="113" t="str">
        <f>'[4]Lubuski'!E30</f>
        <v>-</v>
      </c>
      <c r="W30" s="173"/>
      <c r="X30" s="174"/>
      <c r="Y30" s="113" t="str">
        <f>'[4]Łódzki'!E30</f>
        <v>-</v>
      </c>
      <c r="Z30" s="173"/>
      <c r="AA30" s="174"/>
      <c r="AB30" s="113" t="str">
        <f>'[4]Małopolski'!E30</f>
        <v>-</v>
      </c>
      <c r="AC30" s="173"/>
      <c r="AD30" s="174"/>
      <c r="AE30" s="113" t="str">
        <f>'[4]Mazowiecki'!E30</f>
        <v>-</v>
      </c>
      <c r="AF30" s="173"/>
      <c r="AG30" s="174"/>
      <c r="AH30" s="113" t="str">
        <f>'[4]Opolski'!E30</f>
        <v>-</v>
      </c>
      <c r="AI30" s="173"/>
      <c r="AJ30" s="174"/>
      <c r="AK30" s="113" t="str">
        <f>'[4]Podkarpacki'!E30</f>
        <v>-</v>
      </c>
      <c r="AL30" s="173"/>
      <c r="AM30" s="174"/>
      <c r="AN30" s="113" t="str">
        <f>'[4]Podlaski'!E30</f>
        <v>-</v>
      </c>
      <c r="AO30" s="173"/>
      <c r="AP30" s="174"/>
      <c r="AQ30" s="113">
        <f>'[4]Pomorski'!E30</f>
        <v>100</v>
      </c>
      <c r="AR30" s="173"/>
      <c r="AS30" s="174"/>
      <c r="AT30" s="113" t="str">
        <f>'[4]Śląski'!E30</f>
        <v>-</v>
      </c>
      <c r="AU30" s="173"/>
      <c r="AV30" s="174"/>
      <c r="AW30" s="113" t="str">
        <f>'[4]Świętokrzyski'!E30</f>
        <v>-</v>
      </c>
      <c r="AX30" s="173"/>
      <c r="AY30" s="174"/>
      <c r="AZ30" s="113" t="str">
        <f>'[4]WarmińskoMazurski'!E30</f>
        <v>-</v>
      </c>
      <c r="BA30" s="173"/>
      <c r="BB30" s="174"/>
      <c r="BC30" s="113" t="str">
        <f>'[4]Wielkopolski'!E30</f>
        <v>-</v>
      </c>
      <c r="BD30" s="173"/>
      <c r="BE30" s="174"/>
      <c r="BF30" s="113" t="str">
        <f>'[4]Zachodniopomorski'!E30</f>
        <v>-</v>
      </c>
      <c r="BG30" s="173"/>
    </row>
    <row r="31" spans="1:59" ht="20.25" hidden="1">
      <c r="A31" s="156" t="s">
        <v>19</v>
      </c>
      <c r="B31" s="175" t="s">
        <v>20</v>
      </c>
      <c r="C31" s="176"/>
      <c r="D31" s="51"/>
      <c r="E31" s="177"/>
      <c r="F31" s="176"/>
      <c r="G31" s="107">
        <f>'[4]CENTRALA'!E31</f>
        <v>-30</v>
      </c>
      <c r="H31" s="143"/>
      <c r="I31" s="144"/>
      <c r="J31" s="107">
        <f t="shared" si="0"/>
        <v>100</v>
      </c>
      <c r="K31" s="143"/>
      <c r="L31" s="144"/>
      <c r="M31" s="106" t="str">
        <f>'[4]Dolnośląski'!E31</f>
        <v>-</v>
      </c>
      <c r="N31" s="145"/>
      <c r="O31" s="146"/>
      <c r="P31" s="106" t="str">
        <f>'[4]KujawskoPomorski'!E31</f>
        <v>-</v>
      </c>
      <c r="Q31" s="145"/>
      <c r="R31" s="146"/>
      <c r="S31" s="106" t="str">
        <f>'[4]Lubelski'!E31</f>
        <v>-</v>
      </c>
      <c r="T31" s="145"/>
      <c r="U31" s="146"/>
      <c r="V31" s="106" t="str">
        <f>'[4]Lubuski'!E31</f>
        <v>-</v>
      </c>
      <c r="W31" s="145"/>
      <c r="X31" s="146"/>
      <c r="Y31" s="106" t="str">
        <f>'[4]Łódzki'!E31</f>
        <v>-</v>
      </c>
      <c r="Z31" s="145"/>
      <c r="AA31" s="146"/>
      <c r="AB31" s="106" t="str">
        <f>'[4]Małopolski'!E31</f>
        <v>-</v>
      </c>
      <c r="AC31" s="145"/>
      <c r="AD31" s="146"/>
      <c r="AE31" s="106" t="str">
        <f>'[4]Mazowiecki'!E31</f>
        <v>-</v>
      </c>
      <c r="AF31" s="145"/>
      <c r="AG31" s="146"/>
      <c r="AH31" s="106" t="str">
        <f>'[4]Opolski'!E31</f>
        <v>-</v>
      </c>
      <c r="AI31" s="145"/>
      <c r="AJ31" s="146"/>
      <c r="AK31" s="106" t="str">
        <f>'[4]Podkarpacki'!E31</f>
        <v>-</v>
      </c>
      <c r="AL31" s="145"/>
      <c r="AM31" s="146"/>
      <c r="AN31" s="106" t="str">
        <f>'[4]Podlaski'!E31</f>
        <v>-</v>
      </c>
      <c r="AO31" s="145"/>
      <c r="AP31" s="146"/>
      <c r="AQ31" s="106">
        <f>'[4]Pomorski'!E31</f>
        <v>100</v>
      </c>
      <c r="AR31" s="145"/>
      <c r="AS31" s="146"/>
      <c r="AT31" s="106" t="str">
        <f>'[4]Śląski'!E31</f>
        <v>-</v>
      </c>
      <c r="AU31" s="145"/>
      <c r="AV31" s="146"/>
      <c r="AW31" s="106" t="str">
        <f>'[4]Świętokrzyski'!E31</f>
        <v>-</v>
      </c>
      <c r="AX31" s="145"/>
      <c r="AY31" s="146"/>
      <c r="AZ31" s="106" t="str">
        <f>'[4]WarmińskoMazurski'!E31</f>
        <v>-</v>
      </c>
      <c r="BA31" s="145"/>
      <c r="BB31" s="146"/>
      <c r="BC31" s="106" t="str">
        <f>'[4]Wielkopolski'!E31</f>
        <v>-</v>
      </c>
      <c r="BD31" s="145"/>
      <c r="BE31" s="146"/>
      <c r="BF31" s="106" t="str">
        <f>'[4]Zachodniopomorski'!E31</f>
        <v>-</v>
      </c>
      <c r="BG31" s="145"/>
    </row>
    <row r="32" spans="1:59" ht="20.25" hidden="1">
      <c r="A32" s="156" t="s">
        <v>21</v>
      </c>
      <c r="B32" s="175" t="s">
        <v>22</v>
      </c>
      <c r="C32" s="176"/>
      <c r="D32" s="51"/>
      <c r="E32" s="177"/>
      <c r="F32" s="176"/>
      <c r="G32" s="107">
        <f>'[4]CENTRALA'!E32</f>
        <v>-1</v>
      </c>
      <c r="H32" s="143"/>
      <c r="I32" s="144"/>
      <c r="J32" s="107">
        <f t="shared" si="0"/>
        <v>0</v>
      </c>
      <c r="K32" s="143"/>
      <c r="L32" s="144"/>
      <c r="M32" s="106" t="str">
        <f>'[4]Dolnośląski'!E32</f>
        <v>-</v>
      </c>
      <c r="N32" s="145"/>
      <c r="O32" s="146"/>
      <c r="P32" s="106" t="str">
        <f>'[4]KujawskoPomorski'!E32</f>
        <v>-</v>
      </c>
      <c r="Q32" s="145"/>
      <c r="R32" s="146"/>
      <c r="S32" s="106" t="str">
        <f>'[4]Lubelski'!E32</f>
        <v>-</v>
      </c>
      <c r="T32" s="145"/>
      <c r="U32" s="146"/>
      <c r="V32" s="106" t="str">
        <f>'[4]Lubuski'!E32</f>
        <v>-</v>
      </c>
      <c r="W32" s="145"/>
      <c r="X32" s="146"/>
      <c r="Y32" s="106" t="str">
        <f>'[4]Łódzki'!E32</f>
        <v>-</v>
      </c>
      <c r="Z32" s="145"/>
      <c r="AA32" s="146"/>
      <c r="AB32" s="106" t="str">
        <f>'[4]Małopolski'!E32</f>
        <v>-</v>
      </c>
      <c r="AC32" s="145"/>
      <c r="AD32" s="146"/>
      <c r="AE32" s="106" t="str">
        <f>'[4]Mazowiecki'!E32</f>
        <v>-</v>
      </c>
      <c r="AF32" s="145"/>
      <c r="AG32" s="146"/>
      <c r="AH32" s="106" t="str">
        <f>'[4]Opolski'!E32</f>
        <v>-</v>
      </c>
      <c r="AI32" s="145"/>
      <c r="AJ32" s="146"/>
      <c r="AK32" s="106" t="str">
        <f>'[4]Podkarpacki'!E32</f>
        <v>-</v>
      </c>
      <c r="AL32" s="145"/>
      <c r="AM32" s="146"/>
      <c r="AN32" s="106" t="str">
        <f>'[4]Podlaski'!E32</f>
        <v>-</v>
      </c>
      <c r="AO32" s="145"/>
      <c r="AP32" s="146"/>
      <c r="AQ32" s="106" t="str">
        <f>'[4]Pomorski'!E32</f>
        <v>-</v>
      </c>
      <c r="AR32" s="145"/>
      <c r="AS32" s="146"/>
      <c r="AT32" s="106" t="str">
        <f>'[4]Śląski'!E32</f>
        <v>-</v>
      </c>
      <c r="AU32" s="145"/>
      <c r="AV32" s="146"/>
      <c r="AW32" s="106" t="str">
        <f>'[4]Świętokrzyski'!E32</f>
        <v>-</v>
      </c>
      <c r="AX32" s="145"/>
      <c r="AY32" s="146"/>
      <c r="AZ32" s="106" t="str">
        <f>'[4]WarmińskoMazurski'!E32</f>
        <v>-</v>
      </c>
      <c r="BA32" s="145"/>
      <c r="BB32" s="146"/>
      <c r="BC32" s="106" t="str">
        <f>'[4]Wielkopolski'!E32</f>
        <v>-</v>
      </c>
      <c r="BD32" s="145"/>
      <c r="BE32" s="146"/>
      <c r="BF32" s="106" t="str">
        <f>'[4]Zachodniopomorski'!E32</f>
        <v>-</v>
      </c>
      <c r="BG32" s="145"/>
    </row>
    <row r="33" spans="1:59" ht="20.25" hidden="1">
      <c r="A33" s="156" t="s">
        <v>23</v>
      </c>
      <c r="B33" s="178" t="s">
        <v>37</v>
      </c>
      <c r="C33" s="179"/>
      <c r="D33" s="52"/>
      <c r="E33" s="180"/>
      <c r="F33" s="179"/>
      <c r="G33" s="107" t="str">
        <f>'[4]CENTRALA'!E33</f>
        <v>-</v>
      </c>
      <c r="H33" s="143"/>
      <c r="I33" s="144"/>
      <c r="J33" s="107">
        <f t="shared" si="0"/>
        <v>0</v>
      </c>
      <c r="K33" s="143"/>
      <c r="L33" s="144"/>
      <c r="M33" s="106" t="str">
        <f>'[4]Dolnośląski'!E33</f>
        <v>-</v>
      </c>
      <c r="N33" s="145"/>
      <c r="O33" s="146"/>
      <c r="P33" s="106" t="str">
        <f>'[4]KujawskoPomorski'!E33</f>
        <v>-</v>
      </c>
      <c r="Q33" s="145"/>
      <c r="R33" s="146"/>
      <c r="S33" s="106" t="str">
        <f>'[4]Lubelski'!E33</f>
        <v>-</v>
      </c>
      <c r="T33" s="145"/>
      <c r="U33" s="146"/>
      <c r="V33" s="106" t="str">
        <f>'[4]Lubuski'!E33</f>
        <v>-</v>
      </c>
      <c r="W33" s="145"/>
      <c r="X33" s="146"/>
      <c r="Y33" s="106" t="str">
        <f>'[4]Łódzki'!E33</f>
        <v>-</v>
      </c>
      <c r="Z33" s="145"/>
      <c r="AA33" s="146"/>
      <c r="AB33" s="106" t="str">
        <f>'[4]Małopolski'!E33</f>
        <v>-</v>
      </c>
      <c r="AC33" s="145"/>
      <c r="AD33" s="146"/>
      <c r="AE33" s="106" t="str">
        <f>'[4]Mazowiecki'!E33</f>
        <v>-</v>
      </c>
      <c r="AF33" s="145"/>
      <c r="AG33" s="146"/>
      <c r="AH33" s="106" t="str">
        <f>'[4]Opolski'!E33</f>
        <v>-</v>
      </c>
      <c r="AI33" s="145"/>
      <c r="AJ33" s="146"/>
      <c r="AK33" s="106" t="str">
        <f>'[4]Podkarpacki'!E33</f>
        <v>-</v>
      </c>
      <c r="AL33" s="145"/>
      <c r="AM33" s="146"/>
      <c r="AN33" s="106" t="str">
        <f>'[4]Podlaski'!E33</f>
        <v>-</v>
      </c>
      <c r="AO33" s="145"/>
      <c r="AP33" s="146"/>
      <c r="AQ33" s="106" t="str">
        <f>'[4]Pomorski'!E33</f>
        <v>-</v>
      </c>
      <c r="AR33" s="145"/>
      <c r="AS33" s="146"/>
      <c r="AT33" s="106" t="str">
        <f>'[4]Śląski'!E33</f>
        <v>-</v>
      </c>
      <c r="AU33" s="145"/>
      <c r="AV33" s="146"/>
      <c r="AW33" s="106" t="str">
        <f>'[4]Świętokrzyski'!E33</f>
        <v>-</v>
      </c>
      <c r="AX33" s="145"/>
      <c r="AY33" s="146"/>
      <c r="AZ33" s="106" t="str">
        <f>'[4]WarmińskoMazurski'!E33</f>
        <v>-</v>
      </c>
      <c r="BA33" s="145"/>
      <c r="BB33" s="146"/>
      <c r="BC33" s="106" t="str">
        <f>'[4]Wielkopolski'!E33</f>
        <v>-</v>
      </c>
      <c r="BD33" s="145"/>
      <c r="BE33" s="146"/>
      <c r="BF33" s="106" t="str">
        <f>'[4]Zachodniopomorski'!E33</f>
        <v>-</v>
      </c>
      <c r="BG33" s="145"/>
    </row>
    <row r="34" spans="1:59" ht="23.25" customHeight="1" hidden="1">
      <c r="A34" s="181" t="s">
        <v>45</v>
      </c>
      <c r="B34" s="182" t="s">
        <v>38</v>
      </c>
      <c r="C34" s="183"/>
      <c r="D34" s="54"/>
      <c r="E34" s="184"/>
      <c r="F34" s="183"/>
      <c r="G34" s="107" t="str">
        <f>'[4]CENTRALA'!E34</f>
        <v>-</v>
      </c>
      <c r="H34" s="143"/>
      <c r="I34" s="144"/>
      <c r="J34" s="107">
        <f t="shared" si="0"/>
        <v>0</v>
      </c>
      <c r="K34" s="143"/>
      <c r="L34" s="144"/>
      <c r="M34" s="106" t="str">
        <f>'[4]Dolnośląski'!E34</f>
        <v>-</v>
      </c>
      <c r="N34" s="145"/>
      <c r="O34" s="146"/>
      <c r="P34" s="106" t="str">
        <f>'[4]KujawskoPomorski'!E34</f>
        <v>-</v>
      </c>
      <c r="Q34" s="145"/>
      <c r="R34" s="146"/>
      <c r="S34" s="106" t="str">
        <f>'[4]Lubelski'!E34</f>
        <v>-</v>
      </c>
      <c r="T34" s="145"/>
      <c r="U34" s="146"/>
      <c r="V34" s="106" t="str">
        <f>'[4]Lubuski'!E34</f>
        <v>-</v>
      </c>
      <c r="W34" s="145"/>
      <c r="X34" s="146"/>
      <c r="Y34" s="106" t="str">
        <f>'[4]Łódzki'!E34</f>
        <v>-</v>
      </c>
      <c r="Z34" s="145"/>
      <c r="AA34" s="146"/>
      <c r="AB34" s="106" t="str">
        <f>'[4]Małopolski'!E34</f>
        <v>-</v>
      </c>
      <c r="AC34" s="145"/>
      <c r="AD34" s="146"/>
      <c r="AE34" s="106" t="str">
        <f>'[4]Mazowiecki'!E34</f>
        <v>-</v>
      </c>
      <c r="AF34" s="145"/>
      <c r="AG34" s="146"/>
      <c r="AH34" s="106" t="str">
        <f>'[4]Opolski'!E34</f>
        <v>-</v>
      </c>
      <c r="AI34" s="145"/>
      <c r="AJ34" s="146"/>
      <c r="AK34" s="106" t="str">
        <f>'[4]Podkarpacki'!E34</f>
        <v>-</v>
      </c>
      <c r="AL34" s="145"/>
      <c r="AM34" s="146"/>
      <c r="AN34" s="106" t="str">
        <f>'[4]Podlaski'!E34</f>
        <v>-</v>
      </c>
      <c r="AO34" s="145"/>
      <c r="AP34" s="146"/>
      <c r="AQ34" s="106" t="str">
        <f>'[4]Pomorski'!E34</f>
        <v>-</v>
      </c>
      <c r="AR34" s="145"/>
      <c r="AS34" s="146"/>
      <c r="AT34" s="106" t="str">
        <f>'[4]Śląski'!E34</f>
        <v>-</v>
      </c>
      <c r="AU34" s="145"/>
      <c r="AV34" s="146"/>
      <c r="AW34" s="106" t="str">
        <f>'[4]Świętokrzyski'!E34</f>
        <v>-</v>
      </c>
      <c r="AX34" s="145"/>
      <c r="AY34" s="146"/>
      <c r="AZ34" s="106" t="str">
        <f>'[4]WarmińskoMazurski'!E34</f>
        <v>-</v>
      </c>
      <c r="BA34" s="145"/>
      <c r="BB34" s="146"/>
      <c r="BC34" s="106" t="str">
        <f>'[4]Wielkopolski'!E34</f>
        <v>-</v>
      </c>
      <c r="BD34" s="145"/>
      <c r="BE34" s="146"/>
      <c r="BF34" s="106" t="str">
        <f>'[4]Zachodniopomorski'!E34</f>
        <v>-</v>
      </c>
      <c r="BG34" s="145"/>
    </row>
    <row r="35" spans="1:59" ht="20.25" hidden="1">
      <c r="A35" s="181" t="s">
        <v>46</v>
      </c>
      <c r="B35" s="185" t="s">
        <v>39</v>
      </c>
      <c r="C35" s="186"/>
      <c r="D35" s="55"/>
      <c r="E35" s="187"/>
      <c r="F35" s="186"/>
      <c r="G35" s="107" t="str">
        <f>'[4]CENTRALA'!E35</f>
        <v>-</v>
      </c>
      <c r="H35" s="143"/>
      <c r="I35" s="144"/>
      <c r="J35" s="107">
        <f t="shared" si="0"/>
        <v>0</v>
      </c>
      <c r="K35" s="143"/>
      <c r="L35" s="144"/>
      <c r="M35" s="106" t="str">
        <f>'[4]Dolnośląski'!E35</f>
        <v>-</v>
      </c>
      <c r="N35" s="145"/>
      <c r="O35" s="146"/>
      <c r="P35" s="106" t="str">
        <f>'[4]KujawskoPomorski'!E35</f>
        <v>-</v>
      </c>
      <c r="Q35" s="145"/>
      <c r="R35" s="146"/>
      <c r="S35" s="106" t="str">
        <f>'[4]Lubelski'!E35</f>
        <v>-</v>
      </c>
      <c r="T35" s="145"/>
      <c r="U35" s="146"/>
      <c r="V35" s="106" t="str">
        <f>'[4]Lubuski'!E35</f>
        <v>-</v>
      </c>
      <c r="W35" s="145"/>
      <c r="X35" s="146"/>
      <c r="Y35" s="106" t="str">
        <f>'[4]Łódzki'!E35</f>
        <v>-</v>
      </c>
      <c r="Z35" s="145"/>
      <c r="AA35" s="146"/>
      <c r="AB35" s="106" t="str">
        <f>'[4]Małopolski'!E35</f>
        <v>-</v>
      </c>
      <c r="AC35" s="145"/>
      <c r="AD35" s="146"/>
      <c r="AE35" s="106" t="str">
        <f>'[4]Mazowiecki'!E35</f>
        <v>-</v>
      </c>
      <c r="AF35" s="145"/>
      <c r="AG35" s="146"/>
      <c r="AH35" s="106" t="str">
        <f>'[4]Opolski'!E35</f>
        <v>-</v>
      </c>
      <c r="AI35" s="145"/>
      <c r="AJ35" s="146"/>
      <c r="AK35" s="106" t="str">
        <f>'[4]Podkarpacki'!E35</f>
        <v>-</v>
      </c>
      <c r="AL35" s="145"/>
      <c r="AM35" s="146"/>
      <c r="AN35" s="106" t="str">
        <f>'[4]Podlaski'!E35</f>
        <v>-</v>
      </c>
      <c r="AO35" s="145"/>
      <c r="AP35" s="146"/>
      <c r="AQ35" s="106" t="str">
        <f>'[4]Pomorski'!E35</f>
        <v>-</v>
      </c>
      <c r="AR35" s="145"/>
      <c r="AS35" s="146"/>
      <c r="AT35" s="106" t="str">
        <f>'[4]Śląski'!E35</f>
        <v>-</v>
      </c>
      <c r="AU35" s="145"/>
      <c r="AV35" s="146"/>
      <c r="AW35" s="106" t="str">
        <f>'[4]Świętokrzyski'!E35</f>
        <v>-</v>
      </c>
      <c r="AX35" s="145"/>
      <c r="AY35" s="146"/>
      <c r="AZ35" s="106" t="str">
        <f>'[4]WarmińskoMazurski'!E35</f>
        <v>-</v>
      </c>
      <c r="BA35" s="145"/>
      <c r="BB35" s="146"/>
      <c r="BC35" s="106" t="str">
        <f>'[4]Wielkopolski'!E35</f>
        <v>-</v>
      </c>
      <c r="BD35" s="145"/>
      <c r="BE35" s="146"/>
      <c r="BF35" s="106" t="str">
        <f>'[4]Zachodniopomorski'!E35</f>
        <v>-</v>
      </c>
      <c r="BG35" s="145"/>
    </row>
    <row r="36" spans="1:59" ht="31.5" hidden="1">
      <c r="A36" s="181" t="s">
        <v>47</v>
      </c>
      <c r="B36" s="182" t="s">
        <v>40</v>
      </c>
      <c r="C36" s="183"/>
      <c r="D36" s="54"/>
      <c r="E36" s="184"/>
      <c r="F36" s="183"/>
      <c r="G36" s="107" t="str">
        <f>'[4]CENTRALA'!E36</f>
        <v>-</v>
      </c>
      <c r="H36" s="143"/>
      <c r="I36" s="144"/>
      <c r="J36" s="107">
        <f t="shared" si="0"/>
        <v>0</v>
      </c>
      <c r="K36" s="143"/>
      <c r="L36" s="144"/>
      <c r="M36" s="106" t="str">
        <f>'[4]Dolnośląski'!E36</f>
        <v>-</v>
      </c>
      <c r="N36" s="145"/>
      <c r="O36" s="146"/>
      <c r="P36" s="106" t="str">
        <f>'[4]KujawskoPomorski'!E36</f>
        <v>-</v>
      </c>
      <c r="Q36" s="145"/>
      <c r="R36" s="146"/>
      <c r="S36" s="106" t="str">
        <f>'[4]Lubelski'!E36</f>
        <v>-</v>
      </c>
      <c r="T36" s="145"/>
      <c r="U36" s="146"/>
      <c r="V36" s="106" t="str">
        <f>'[4]Lubuski'!E36</f>
        <v>-</v>
      </c>
      <c r="W36" s="145"/>
      <c r="X36" s="146"/>
      <c r="Y36" s="106" t="str">
        <f>'[4]Łódzki'!E36</f>
        <v>-</v>
      </c>
      <c r="Z36" s="145"/>
      <c r="AA36" s="146"/>
      <c r="AB36" s="106" t="str">
        <f>'[4]Małopolski'!E36</f>
        <v>-</v>
      </c>
      <c r="AC36" s="145"/>
      <c r="AD36" s="146"/>
      <c r="AE36" s="106" t="str">
        <f>'[4]Mazowiecki'!E36</f>
        <v>-</v>
      </c>
      <c r="AF36" s="145"/>
      <c r="AG36" s="146"/>
      <c r="AH36" s="106" t="str">
        <f>'[4]Opolski'!E36</f>
        <v>-</v>
      </c>
      <c r="AI36" s="145"/>
      <c r="AJ36" s="146"/>
      <c r="AK36" s="106" t="str">
        <f>'[4]Podkarpacki'!E36</f>
        <v>-</v>
      </c>
      <c r="AL36" s="145"/>
      <c r="AM36" s="146"/>
      <c r="AN36" s="106" t="str">
        <f>'[4]Podlaski'!E36</f>
        <v>-</v>
      </c>
      <c r="AO36" s="145"/>
      <c r="AP36" s="146"/>
      <c r="AQ36" s="106" t="str">
        <f>'[4]Pomorski'!E36</f>
        <v>-</v>
      </c>
      <c r="AR36" s="145"/>
      <c r="AS36" s="146"/>
      <c r="AT36" s="106" t="str">
        <f>'[4]Śląski'!E36</f>
        <v>-</v>
      </c>
      <c r="AU36" s="145"/>
      <c r="AV36" s="146"/>
      <c r="AW36" s="106" t="str">
        <f>'[4]Świętokrzyski'!E36</f>
        <v>-</v>
      </c>
      <c r="AX36" s="145"/>
      <c r="AY36" s="146"/>
      <c r="AZ36" s="106" t="str">
        <f>'[4]WarmińskoMazurski'!E36</f>
        <v>-</v>
      </c>
      <c r="BA36" s="145"/>
      <c r="BB36" s="146"/>
      <c r="BC36" s="106" t="str">
        <f>'[4]Wielkopolski'!E36</f>
        <v>-</v>
      </c>
      <c r="BD36" s="145"/>
      <c r="BE36" s="146"/>
      <c r="BF36" s="106" t="str">
        <f>'[4]Zachodniopomorski'!E36</f>
        <v>-</v>
      </c>
      <c r="BG36" s="145"/>
    </row>
    <row r="37" spans="1:59" ht="20.25" hidden="1">
      <c r="A37" s="181" t="s">
        <v>48</v>
      </c>
      <c r="B37" s="182" t="s">
        <v>41</v>
      </c>
      <c r="C37" s="183"/>
      <c r="D37" s="54"/>
      <c r="E37" s="184"/>
      <c r="F37" s="183"/>
      <c r="G37" s="107" t="str">
        <f>'[4]CENTRALA'!E37</f>
        <v>-</v>
      </c>
      <c r="H37" s="143"/>
      <c r="I37" s="144"/>
      <c r="J37" s="107">
        <f t="shared" si="0"/>
        <v>0</v>
      </c>
      <c r="K37" s="143"/>
      <c r="L37" s="144"/>
      <c r="M37" s="106" t="str">
        <f>'[4]Dolnośląski'!E37</f>
        <v>-</v>
      </c>
      <c r="N37" s="145"/>
      <c r="O37" s="146"/>
      <c r="P37" s="106" t="str">
        <f>'[4]KujawskoPomorski'!E37</f>
        <v>-</v>
      </c>
      <c r="Q37" s="145"/>
      <c r="R37" s="146"/>
      <c r="S37" s="106" t="str">
        <f>'[4]Lubelski'!E37</f>
        <v>-</v>
      </c>
      <c r="T37" s="145"/>
      <c r="U37" s="146"/>
      <c r="V37" s="106" t="str">
        <f>'[4]Lubuski'!E37</f>
        <v>-</v>
      </c>
      <c r="W37" s="145"/>
      <c r="X37" s="146"/>
      <c r="Y37" s="106" t="str">
        <f>'[4]Łódzki'!E37</f>
        <v>-</v>
      </c>
      <c r="Z37" s="145"/>
      <c r="AA37" s="146"/>
      <c r="AB37" s="106" t="str">
        <f>'[4]Małopolski'!E37</f>
        <v>-</v>
      </c>
      <c r="AC37" s="145"/>
      <c r="AD37" s="146"/>
      <c r="AE37" s="106" t="str">
        <f>'[4]Mazowiecki'!E37</f>
        <v>-</v>
      </c>
      <c r="AF37" s="145"/>
      <c r="AG37" s="146"/>
      <c r="AH37" s="106" t="str">
        <f>'[4]Opolski'!E37</f>
        <v>-</v>
      </c>
      <c r="AI37" s="145"/>
      <c r="AJ37" s="146"/>
      <c r="AK37" s="106" t="str">
        <f>'[4]Podkarpacki'!E37</f>
        <v>-</v>
      </c>
      <c r="AL37" s="145"/>
      <c r="AM37" s="146"/>
      <c r="AN37" s="106" t="str">
        <f>'[4]Podlaski'!E37</f>
        <v>-</v>
      </c>
      <c r="AO37" s="145"/>
      <c r="AP37" s="146"/>
      <c r="AQ37" s="106" t="str">
        <f>'[4]Pomorski'!E37</f>
        <v>-</v>
      </c>
      <c r="AR37" s="145"/>
      <c r="AS37" s="146"/>
      <c r="AT37" s="106" t="str">
        <f>'[4]Śląski'!E37</f>
        <v>-</v>
      </c>
      <c r="AU37" s="145"/>
      <c r="AV37" s="146"/>
      <c r="AW37" s="106" t="str">
        <f>'[4]Świętokrzyski'!E37</f>
        <v>-</v>
      </c>
      <c r="AX37" s="145"/>
      <c r="AY37" s="146"/>
      <c r="AZ37" s="106" t="str">
        <f>'[4]WarmińskoMazurski'!E37</f>
        <v>-</v>
      </c>
      <c r="BA37" s="145"/>
      <c r="BB37" s="146"/>
      <c r="BC37" s="106" t="str">
        <f>'[4]Wielkopolski'!E37</f>
        <v>-</v>
      </c>
      <c r="BD37" s="145"/>
      <c r="BE37" s="146"/>
      <c r="BF37" s="106" t="str">
        <f>'[4]Zachodniopomorski'!E37</f>
        <v>-</v>
      </c>
      <c r="BG37" s="145"/>
    </row>
    <row r="38" spans="1:59" ht="20.25" hidden="1">
      <c r="A38" s="181" t="s">
        <v>49</v>
      </c>
      <c r="B38" s="182" t="s">
        <v>42</v>
      </c>
      <c r="C38" s="183"/>
      <c r="D38" s="54"/>
      <c r="E38" s="184"/>
      <c r="F38" s="183"/>
      <c r="G38" s="107" t="str">
        <f>'[4]CENTRALA'!E38</f>
        <v>-</v>
      </c>
      <c r="H38" s="143"/>
      <c r="I38" s="144"/>
      <c r="J38" s="107">
        <f t="shared" si="0"/>
        <v>0</v>
      </c>
      <c r="K38" s="143"/>
      <c r="L38" s="144"/>
      <c r="M38" s="106" t="str">
        <f>'[4]Dolnośląski'!E38</f>
        <v>-</v>
      </c>
      <c r="N38" s="145"/>
      <c r="O38" s="146"/>
      <c r="P38" s="106" t="str">
        <f>'[4]KujawskoPomorski'!E38</f>
        <v>-</v>
      </c>
      <c r="Q38" s="145"/>
      <c r="R38" s="146"/>
      <c r="S38" s="106" t="str">
        <f>'[4]Lubelski'!E38</f>
        <v>-</v>
      </c>
      <c r="T38" s="145"/>
      <c r="U38" s="146"/>
      <c r="V38" s="106" t="str">
        <f>'[4]Lubuski'!E38</f>
        <v>-</v>
      </c>
      <c r="W38" s="145"/>
      <c r="X38" s="146"/>
      <c r="Y38" s="106" t="str">
        <f>'[4]Łódzki'!E38</f>
        <v>-</v>
      </c>
      <c r="Z38" s="145"/>
      <c r="AA38" s="146"/>
      <c r="AB38" s="106" t="str">
        <f>'[4]Małopolski'!E38</f>
        <v>-</v>
      </c>
      <c r="AC38" s="145"/>
      <c r="AD38" s="146"/>
      <c r="AE38" s="106" t="str">
        <f>'[4]Mazowiecki'!E38</f>
        <v>-</v>
      </c>
      <c r="AF38" s="145"/>
      <c r="AG38" s="146"/>
      <c r="AH38" s="106" t="str">
        <f>'[4]Opolski'!E38</f>
        <v>-</v>
      </c>
      <c r="AI38" s="145"/>
      <c r="AJ38" s="146"/>
      <c r="AK38" s="106" t="str">
        <f>'[4]Podkarpacki'!E38</f>
        <v>-</v>
      </c>
      <c r="AL38" s="145"/>
      <c r="AM38" s="146"/>
      <c r="AN38" s="106" t="str">
        <f>'[4]Podlaski'!E38</f>
        <v>-</v>
      </c>
      <c r="AO38" s="145"/>
      <c r="AP38" s="146"/>
      <c r="AQ38" s="106" t="str">
        <f>'[4]Pomorski'!E38</f>
        <v>-</v>
      </c>
      <c r="AR38" s="145"/>
      <c r="AS38" s="146"/>
      <c r="AT38" s="106" t="str">
        <f>'[4]Śląski'!E38</f>
        <v>-</v>
      </c>
      <c r="AU38" s="145"/>
      <c r="AV38" s="146"/>
      <c r="AW38" s="106" t="str">
        <f>'[4]Świętokrzyski'!E38</f>
        <v>-</v>
      </c>
      <c r="AX38" s="145"/>
      <c r="AY38" s="146"/>
      <c r="AZ38" s="106" t="str">
        <f>'[4]WarmińskoMazurski'!E38</f>
        <v>-</v>
      </c>
      <c r="BA38" s="145"/>
      <c r="BB38" s="146"/>
      <c r="BC38" s="106" t="str">
        <f>'[4]Wielkopolski'!E38</f>
        <v>-</v>
      </c>
      <c r="BD38" s="145"/>
      <c r="BE38" s="146"/>
      <c r="BF38" s="106" t="str">
        <f>'[4]Zachodniopomorski'!E38</f>
        <v>-</v>
      </c>
      <c r="BG38" s="145"/>
    </row>
    <row r="39" spans="1:59" ht="20.25" hidden="1">
      <c r="A39" s="181" t="s">
        <v>50</v>
      </c>
      <c r="B39" s="182" t="s">
        <v>43</v>
      </c>
      <c r="C39" s="183"/>
      <c r="D39" s="54"/>
      <c r="E39" s="184"/>
      <c r="F39" s="183"/>
      <c r="G39" s="107" t="str">
        <f>'[4]CENTRALA'!E39</f>
        <v>-</v>
      </c>
      <c r="H39" s="143"/>
      <c r="I39" s="144"/>
      <c r="J39" s="107">
        <f t="shared" si="0"/>
        <v>0</v>
      </c>
      <c r="K39" s="143"/>
      <c r="L39" s="144"/>
      <c r="M39" s="106" t="str">
        <f>'[4]Dolnośląski'!E39</f>
        <v>-</v>
      </c>
      <c r="N39" s="145"/>
      <c r="O39" s="146"/>
      <c r="P39" s="106" t="str">
        <f>'[4]KujawskoPomorski'!E39</f>
        <v>-</v>
      </c>
      <c r="Q39" s="145"/>
      <c r="R39" s="146"/>
      <c r="S39" s="106" t="str">
        <f>'[4]Lubelski'!E39</f>
        <v>-</v>
      </c>
      <c r="T39" s="145"/>
      <c r="U39" s="146"/>
      <c r="V39" s="106" t="str">
        <f>'[4]Lubuski'!E39</f>
        <v>-</v>
      </c>
      <c r="W39" s="145"/>
      <c r="X39" s="146"/>
      <c r="Y39" s="106" t="str">
        <f>'[4]Łódzki'!E39</f>
        <v>-</v>
      </c>
      <c r="Z39" s="145"/>
      <c r="AA39" s="146"/>
      <c r="AB39" s="106" t="str">
        <f>'[4]Małopolski'!E39</f>
        <v>-</v>
      </c>
      <c r="AC39" s="145"/>
      <c r="AD39" s="146"/>
      <c r="AE39" s="106" t="str">
        <f>'[4]Mazowiecki'!E39</f>
        <v>-</v>
      </c>
      <c r="AF39" s="145"/>
      <c r="AG39" s="146"/>
      <c r="AH39" s="106" t="str">
        <f>'[4]Opolski'!E39</f>
        <v>-</v>
      </c>
      <c r="AI39" s="145"/>
      <c r="AJ39" s="146"/>
      <c r="AK39" s="106" t="str">
        <f>'[4]Podkarpacki'!E39</f>
        <v>-</v>
      </c>
      <c r="AL39" s="145"/>
      <c r="AM39" s="146"/>
      <c r="AN39" s="106" t="str">
        <f>'[4]Podlaski'!E39</f>
        <v>-</v>
      </c>
      <c r="AO39" s="145"/>
      <c r="AP39" s="146"/>
      <c r="AQ39" s="106" t="str">
        <f>'[4]Pomorski'!E39</f>
        <v>-</v>
      </c>
      <c r="AR39" s="145"/>
      <c r="AS39" s="146"/>
      <c r="AT39" s="106" t="str">
        <f>'[4]Śląski'!E39</f>
        <v>-</v>
      </c>
      <c r="AU39" s="145"/>
      <c r="AV39" s="146"/>
      <c r="AW39" s="106" t="str">
        <f>'[4]Świętokrzyski'!E39</f>
        <v>-</v>
      </c>
      <c r="AX39" s="145"/>
      <c r="AY39" s="146"/>
      <c r="AZ39" s="106" t="str">
        <f>'[4]WarmińskoMazurski'!E39</f>
        <v>-</v>
      </c>
      <c r="BA39" s="145"/>
      <c r="BB39" s="146"/>
      <c r="BC39" s="106" t="str">
        <f>'[4]Wielkopolski'!E39</f>
        <v>-</v>
      </c>
      <c r="BD39" s="145"/>
      <c r="BE39" s="146"/>
      <c r="BF39" s="106" t="str">
        <f>'[4]Zachodniopomorski'!E39</f>
        <v>-</v>
      </c>
      <c r="BG39" s="145"/>
    </row>
    <row r="40" spans="1:59" ht="20.25" hidden="1">
      <c r="A40" s="181" t="s">
        <v>51</v>
      </c>
      <c r="B40" s="182" t="s">
        <v>44</v>
      </c>
      <c r="C40" s="183"/>
      <c r="D40" s="54"/>
      <c r="E40" s="184"/>
      <c r="F40" s="183"/>
      <c r="G40" s="107" t="str">
        <f>'[4]CENTRALA'!E40</f>
        <v>-</v>
      </c>
      <c r="H40" s="143"/>
      <c r="I40" s="144"/>
      <c r="J40" s="107">
        <f t="shared" si="0"/>
        <v>0</v>
      </c>
      <c r="K40" s="143"/>
      <c r="L40" s="144"/>
      <c r="M40" s="106" t="str">
        <f>'[4]Dolnośląski'!E40</f>
        <v>-</v>
      </c>
      <c r="N40" s="145"/>
      <c r="O40" s="146"/>
      <c r="P40" s="106" t="str">
        <f>'[4]KujawskoPomorski'!E40</f>
        <v>-</v>
      </c>
      <c r="Q40" s="145"/>
      <c r="R40" s="146"/>
      <c r="S40" s="106" t="str">
        <f>'[4]Lubelski'!E40</f>
        <v>-</v>
      </c>
      <c r="T40" s="145"/>
      <c r="U40" s="146"/>
      <c r="V40" s="106" t="str">
        <f>'[4]Lubuski'!E40</f>
        <v>-</v>
      </c>
      <c r="W40" s="145"/>
      <c r="X40" s="146"/>
      <c r="Y40" s="106" t="str">
        <f>'[4]Łódzki'!E40</f>
        <v>-</v>
      </c>
      <c r="Z40" s="145"/>
      <c r="AA40" s="146"/>
      <c r="AB40" s="106" t="str">
        <f>'[4]Małopolski'!E40</f>
        <v>-</v>
      </c>
      <c r="AC40" s="145"/>
      <c r="AD40" s="146"/>
      <c r="AE40" s="106" t="str">
        <f>'[4]Mazowiecki'!E40</f>
        <v>-</v>
      </c>
      <c r="AF40" s="145"/>
      <c r="AG40" s="146"/>
      <c r="AH40" s="106" t="str">
        <f>'[4]Opolski'!E40</f>
        <v>-</v>
      </c>
      <c r="AI40" s="145"/>
      <c r="AJ40" s="146"/>
      <c r="AK40" s="106" t="str">
        <f>'[4]Podkarpacki'!E40</f>
        <v>-</v>
      </c>
      <c r="AL40" s="145"/>
      <c r="AM40" s="146"/>
      <c r="AN40" s="106" t="str">
        <f>'[4]Podlaski'!E40</f>
        <v>-</v>
      </c>
      <c r="AO40" s="145"/>
      <c r="AP40" s="146"/>
      <c r="AQ40" s="106" t="str">
        <f>'[4]Pomorski'!E40</f>
        <v>-</v>
      </c>
      <c r="AR40" s="145"/>
      <c r="AS40" s="146"/>
      <c r="AT40" s="106" t="str">
        <f>'[4]Śląski'!E40</f>
        <v>-</v>
      </c>
      <c r="AU40" s="145"/>
      <c r="AV40" s="146"/>
      <c r="AW40" s="106" t="str">
        <f>'[4]Świętokrzyski'!E40</f>
        <v>-</v>
      </c>
      <c r="AX40" s="145"/>
      <c r="AY40" s="146"/>
      <c r="AZ40" s="106" t="str">
        <f>'[4]WarmińskoMazurski'!E40</f>
        <v>-</v>
      </c>
      <c r="BA40" s="145"/>
      <c r="BB40" s="146"/>
      <c r="BC40" s="106" t="str">
        <f>'[4]Wielkopolski'!E40</f>
        <v>-</v>
      </c>
      <c r="BD40" s="145"/>
      <c r="BE40" s="146"/>
      <c r="BF40" s="106" t="str">
        <f>'[4]Zachodniopomorski'!E40</f>
        <v>-</v>
      </c>
      <c r="BG40" s="145"/>
    </row>
    <row r="41" spans="1:59" ht="20.25" hidden="1">
      <c r="A41" s="156" t="s">
        <v>24</v>
      </c>
      <c r="B41" s="175" t="s">
        <v>25</v>
      </c>
      <c r="C41" s="176"/>
      <c r="D41" s="51"/>
      <c r="E41" s="177"/>
      <c r="F41" s="176"/>
      <c r="G41" s="107">
        <f>'[4]CENTRALA'!E41</f>
        <v>-20</v>
      </c>
      <c r="H41" s="143"/>
      <c r="I41" s="144"/>
      <c r="J41" s="107">
        <f t="shared" si="0"/>
        <v>0</v>
      </c>
      <c r="K41" s="143"/>
      <c r="L41" s="144"/>
      <c r="M41" s="106" t="str">
        <f>'[4]Dolnośląski'!E41</f>
        <v>-</v>
      </c>
      <c r="N41" s="145"/>
      <c r="O41" s="146"/>
      <c r="P41" s="106" t="str">
        <f>'[4]KujawskoPomorski'!E41</f>
        <v>-</v>
      </c>
      <c r="Q41" s="145"/>
      <c r="R41" s="146"/>
      <c r="S41" s="106" t="str">
        <f>'[4]Lubelski'!E41</f>
        <v>-</v>
      </c>
      <c r="T41" s="145"/>
      <c r="U41" s="146"/>
      <c r="V41" s="106" t="str">
        <f>'[4]Lubuski'!E41</f>
        <v>-</v>
      </c>
      <c r="W41" s="145"/>
      <c r="X41" s="146"/>
      <c r="Y41" s="106" t="str">
        <f>'[4]Łódzki'!E41</f>
        <v>-</v>
      </c>
      <c r="Z41" s="145"/>
      <c r="AA41" s="146"/>
      <c r="AB41" s="106" t="str">
        <f>'[4]Małopolski'!E41</f>
        <v>-</v>
      </c>
      <c r="AC41" s="145"/>
      <c r="AD41" s="146"/>
      <c r="AE41" s="106" t="str">
        <f>'[4]Mazowiecki'!E41</f>
        <v>-</v>
      </c>
      <c r="AF41" s="145"/>
      <c r="AG41" s="146"/>
      <c r="AH41" s="106" t="str">
        <f>'[4]Opolski'!E41</f>
        <v>-</v>
      </c>
      <c r="AI41" s="145"/>
      <c r="AJ41" s="146"/>
      <c r="AK41" s="106" t="str">
        <f>'[4]Podkarpacki'!E41</f>
        <v>-</v>
      </c>
      <c r="AL41" s="145"/>
      <c r="AM41" s="146"/>
      <c r="AN41" s="106" t="str">
        <f>'[4]Podlaski'!E41</f>
        <v>-</v>
      </c>
      <c r="AO41" s="145"/>
      <c r="AP41" s="146"/>
      <c r="AQ41" s="106" t="str">
        <f>'[4]Pomorski'!E41</f>
        <v>-</v>
      </c>
      <c r="AR41" s="145"/>
      <c r="AS41" s="146"/>
      <c r="AT41" s="106" t="str">
        <f>'[4]Śląski'!E41</f>
        <v>-</v>
      </c>
      <c r="AU41" s="145"/>
      <c r="AV41" s="146"/>
      <c r="AW41" s="106" t="str">
        <f>'[4]Świętokrzyski'!E41</f>
        <v>-</v>
      </c>
      <c r="AX41" s="145"/>
      <c r="AY41" s="146"/>
      <c r="AZ41" s="106" t="str">
        <f>'[4]WarmińskoMazurski'!E41</f>
        <v>-</v>
      </c>
      <c r="BA41" s="145"/>
      <c r="BB41" s="146"/>
      <c r="BC41" s="106" t="str">
        <f>'[4]Wielkopolski'!E41</f>
        <v>-</v>
      </c>
      <c r="BD41" s="145"/>
      <c r="BE41" s="146"/>
      <c r="BF41" s="106" t="str">
        <f>'[4]Zachodniopomorski'!E41</f>
        <v>-</v>
      </c>
      <c r="BG41" s="145"/>
    </row>
    <row r="42" spans="1:59" ht="40.5" hidden="1">
      <c r="A42" s="156" t="s">
        <v>26</v>
      </c>
      <c r="B42" s="178" t="s">
        <v>61</v>
      </c>
      <c r="C42" s="179"/>
      <c r="D42" s="52"/>
      <c r="E42" s="180"/>
      <c r="F42" s="179"/>
      <c r="G42" s="107" t="str">
        <f>'[4]CENTRALA'!E42</f>
        <v>-</v>
      </c>
      <c r="H42" s="143"/>
      <c r="I42" s="144"/>
      <c r="J42" s="107">
        <f t="shared" si="0"/>
        <v>0</v>
      </c>
      <c r="K42" s="143"/>
      <c r="L42" s="144"/>
      <c r="M42" s="106" t="str">
        <f>'[4]Dolnośląski'!E42</f>
        <v>-</v>
      </c>
      <c r="N42" s="145"/>
      <c r="O42" s="146"/>
      <c r="P42" s="106" t="str">
        <f>'[4]KujawskoPomorski'!E42</f>
        <v>-</v>
      </c>
      <c r="Q42" s="145"/>
      <c r="R42" s="146"/>
      <c r="S42" s="106" t="str">
        <f>'[4]Lubelski'!E42</f>
        <v>-</v>
      </c>
      <c r="T42" s="145"/>
      <c r="U42" s="146"/>
      <c r="V42" s="106" t="str">
        <f>'[4]Lubuski'!E42</f>
        <v>-</v>
      </c>
      <c r="W42" s="145"/>
      <c r="X42" s="146"/>
      <c r="Y42" s="106" t="str">
        <f>'[4]Łódzki'!E42</f>
        <v>-</v>
      </c>
      <c r="Z42" s="145"/>
      <c r="AA42" s="146"/>
      <c r="AB42" s="106" t="str">
        <f>'[4]Małopolski'!E42</f>
        <v>-</v>
      </c>
      <c r="AC42" s="145"/>
      <c r="AD42" s="146"/>
      <c r="AE42" s="106" t="str">
        <f>'[4]Mazowiecki'!E42</f>
        <v>-</v>
      </c>
      <c r="AF42" s="145"/>
      <c r="AG42" s="146"/>
      <c r="AH42" s="106" t="str">
        <f>'[4]Opolski'!E42</f>
        <v>-</v>
      </c>
      <c r="AI42" s="145"/>
      <c r="AJ42" s="146"/>
      <c r="AK42" s="106" t="str">
        <f>'[4]Podkarpacki'!E42</f>
        <v>-</v>
      </c>
      <c r="AL42" s="145"/>
      <c r="AM42" s="146"/>
      <c r="AN42" s="106" t="str">
        <f>'[4]Podlaski'!E42</f>
        <v>-</v>
      </c>
      <c r="AO42" s="145"/>
      <c r="AP42" s="146"/>
      <c r="AQ42" s="106" t="str">
        <f>'[4]Pomorski'!E42</f>
        <v>-</v>
      </c>
      <c r="AR42" s="145"/>
      <c r="AS42" s="146"/>
      <c r="AT42" s="106" t="str">
        <f>'[4]Śląski'!E42</f>
        <v>-</v>
      </c>
      <c r="AU42" s="145"/>
      <c r="AV42" s="146"/>
      <c r="AW42" s="106" t="str">
        <f>'[4]Świętokrzyski'!E42</f>
        <v>-</v>
      </c>
      <c r="AX42" s="145"/>
      <c r="AY42" s="146"/>
      <c r="AZ42" s="106" t="str">
        <f>'[4]WarmińskoMazurski'!E42</f>
        <v>-</v>
      </c>
      <c r="BA42" s="145"/>
      <c r="BB42" s="146"/>
      <c r="BC42" s="106" t="str">
        <f>'[4]Wielkopolski'!E42</f>
        <v>-</v>
      </c>
      <c r="BD42" s="145"/>
      <c r="BE42" s="146"/>
      <c r="BF42" s="106" t="str">
        <f>'[4]Zachodniopomorski'!E42</f>
        <v>-</v>
      </c>
      <c r="BG42" s="145"/>
    </row>
    <row r="43" spans="1:59" ht="20.25" hidden="1">
      <c r="A43" s="181" t="s">
        <v>56</v>
      </c>
      <c r="B43" s="182" t="s">
        <v>52</v>
      </c>
      <c r="C43" s="183"/>
      <c r="D43" s="54"/>
      <c r="E43" s="184"/>
      <c r="F43" s="183"/>
      <c r="G43" s="107" t="str">
        <f>'[4]CENTRALA'!E43</f>
        <v>-</v>
      </c>
      <c r="H43" s="143"/>
      <c r="I43" s="144"/>
      <c r="J43" s="107">
        <f t="shared" si="0"/>
        <v>0</v>
      </c>
      <c r="K43" s="143"/>
      <c r="L43" s="144"/>
      <c r="M43" s="106" t="str">
        <f>'[4]Dolnośląski'!E43</f>
        <v>-</v>
      </c>
      <c r="N43" s="145"/>
      <c r="O43" s="146"/>
      <c r="P43" s="106" t="str">
        <f>'[4]KujawskoPomorski'!E43</f>
        <v>-</v>
      </c>
      <c r="Q43" s="145"/>
      <c r="R43" s="146"/>
      <c r="S43" s="106" t="str">
        <f>'[4]Lubelski'!E43</f>
        <v>-</v>
      </c>
      <c r="T43" s="145"/>
      <c r="U43" s="146"/>
      <c r="V43" s="106" t="str">
        <f>'[4]Lubuski'!E43</f>
        <v>-</v>
      </c>
      <c r="W43" s="145"/>
      <c r="X43" s="146"/>
      <c r="Y43" s="106" t="str">
        <f>'[4]Łódzki'!E43</f>
        <v>-</v>
      </c>
      <c r="Z43" s="145"/>
      <c r="AA43" s="146"/>
      <c r="AB43" s="106" t="str">
        <f>'[4]Małopolski'!E43</f>
        <v>-</v>
      </c>
      <c r="AC43" s="145"/>
      <c r="AD43" s="146"/>
      <c r="AE43" s="106" t="str">
        <f>'[4]Mazowiecki'!E43</f>
        <v>-</v>
      </c>
      <c r="AF43" s="145"/>
      <c r="AG43" s="146"/>
      <c r="AH43" s="106" t="str">
        <f>'[4]Opolski'!E43</f>
        <v>-</v>
      </c>
      <c r="AI43" s="145"/>
      <c r="AJ43" s="146"/>
      <c r="AK43" s="106" t="str">
        <f>'[4]Podkarpacki'!E43</f>
        <v>-</v>
      </c>
      <c r="AL43" s="145"/>
      <c r="AM43" s="146"/>
      <c r="AN43" s="106" t="str">
        <f>'[4]Podlaski'!E43</f>
        <v>-</v>
      </c>
      <c r="AO43" s="145"/>
      <c r="AP43" s="146"/>
      <c r="AQ43" s="106" t="str">
        <f>'[4]Pomorski'!E43</f>
        <v>-</v>
      </c>
      <c r="AR43" s="145"/>
      <c r="AS43" s="146"/>
      <c r="AT43" s="106" t="str">
        <f>'[4]Śląski'!E43</f>
        <v>-</v>
      </c>
      <c r="AU43" s="145"/>
      <c r="AV43" s="146"/>
      <c r="AW43" s="106" t="str">
        <f>'[4]Świętokrzyski'!E43</f>
        <v>-</v>
      </c>
      <c r="AX43" s="145"/>
      <c r="AY43" s="146"/>
      <c r="AZ43" s="106" t="str">
        <f>'[4]WarmińskoMazurski'!E43</f>
        <v>-</v>
      </c>
      <c r="BA43" s="145"/>
      <c r="BB43" s="146"/>
      <c r="BC43" s="106" t="str">
        <f>'[4]Wielkopolski'!E43</f>
        <v>-</v>
      </c>
      <c r="BD43" s="145"/>
      <c r="BE43" s="146"/>
      <c r="BF43" s="106" t="str">
        <f>'[4]Zachodniopomorski'!E43</f>
        <v>-</v>
      </c>
      <c r="BG43" s="145"/>
    </row>
    <row r="44" spans="1:59" ht="20.25" hidden="1">
      <c r="A44" s="181" t="s">
        <v>57</v>
      </c>
      <c r="B44" s="182" t="s">
        <v>53</v>
      </c>
      <c r="C44" s="183"/>
      <c r="D44" s="54"/>
      <c r="E44" s="184"/>
      <c r="F44" s="183"/>
      <c r="G44" s="107" t="str">
        <f>'[4]CENTRALA'!E44</f>
        <v>-</v>
      </c>
      <c r="H44" s="143"/>
      <c r="I44" s="144"/>
      <c r="J44" s="107">
        <f t="shared" si="0"/>
        <v>0</v>
      </c>
      <c r="K44" s="143"/>
      <c r="L44" s="144"/>
      <c r="M44" s="106" t="str">
        <f>'[4]Dolnośląski'!E44</f>
        <v>-</v>
      </c>
      <c r="N44" s="145"/>
      <c r="O44" s="146"/>
      <c r="P44" s="106" t="str">
        <f>'[4]KujawskoPomorski'!E44</f>
        <v>-</v>
      </c>
      <c r="Q44" s="145"/>
      <c r="R44" s="146"/>
      <c r="S44" s="106" t="str">
        <f>'[4]Lubelski'!E44</f>
        <v>-</v>
      </c>
      <c r="T44" s="145"/>
      <c r="U44" s="146"/>
      <c r="V44" s="106" t="str">
        <f>'[4]Lubuski'!E44</f>
        <v>-</v>
      </c>
      <c r="W44" s="145"/>
      <c r="X44" s="146"/>
      <c r="Y44" s="106" t="str">
        <f>'[4]Łódzki'!E44</f>
        <v>-</v>
      </c>
      <c r="Z44" s="145"/>
      <c r="AA44" s="146"/>
      <c r="AB44" s="106" t="str">
        <f>'[4]Małopolski'!E44</f>
        <v>-</v>
      </c>
      <c r="AC44" s="145"/>
      <c r="AD44" s="146"/>
      <c r="AE44" s="106" t="str">
        <f>'[4]Mazowiecki'!E44</f>
        <v>-</v>
      </c>
      <c r="AF44" s="145"/>
      <c r="AG44" s="146"/>
      <c r="AH44" s="106" t="str">
        <f>'[4]Opolski'!E44</f>
        <v>-</v>
      </c>
      <c r="AI44" s="145"/>
      <c r="AJ44" s="146"/>
      <c r="AK44" s="106" t="str">
        <f>'[4]Podkarpacki'!E44</f>
        <v>-</v>
      </c>
      <c r="AL44" s="145"/>
      <c r="AM44" s="146"/>
      <c r="AN44" s="106" t="str">
        <f>'[4]Podlaski'!E44</f>
        <v>-</v>
      </c>
      <c r="AO44" s="145"/>
      <c r="AP44" s="146"/>
      <c r="AQ44" s="106" t="str">
        <f>'[4]Pomorski'!E44</f>
        <v>-</v>
      </c>
      <c r="AR44" s="145"/>
      <c r="AS44" s="146"/>
      <c r="AT44" s="106" t="str">
        <f>'[4]Śląski'!E44</f>
        <v>-</v>
      </c>
      <c r="AU44" s="145"/>
      <c r="AV44" s="146"/>
      <c r="AW44" s="106" t="str">
        <f>'[4]Świętokrzyski'!E44</f>
        <v>-</v>
      </c>
      <c r="AX44" s="145"/>
      <c r="AY44" s="146"/>
      <c r="AZ44" s="106" t="str">
        <f>'[4]WarmińskoMazurski'!E44</f>
        <v>-</v>
      </c>
      <c r="BA44" s="145"/>
      <c r="BB44" s="146"/>
      <c r="BC44" s="106" t="str">
        <f>'[4]Wielkopolski'!E44</f>
        <v>-</v>
      </c>
      <c r="BD44" s="145"/>
      <c r="BE44" s="146"/>
      <c r="BF44" s="106" t="str">
        <f>'[4]Zachodniopomorski'!E44</f>
        <v>-</v>
      </c>
      <c r="BG44" s="145"/>
    </row>
    <row r="45" spans="1:59" ht="20.25" hidden="1">
      <c r="A45" s="181" t="s">
        <v>58</v>
      </c>
      <c r="B45" s="182" t="s">
        <v>54</v>
      </c>
      <c r="C45" s="183"/>
      <c r="D45" s="54"/>
      <c r="E45" s="184"/>
      <c r="F45" s="183"/>
      <c r="G45" s="107" t="str">
        <f>'[4]CENTRALA'!E45</f>
        <v>-</v>
      </c>
      <c r="H45" s="143"/>
      <c r="I45" s="144"/>
      <c r="J45" s="107">
        <f t="shared" si="0"/>
        <v>0</v>
      </c>
      <c r="K45" s="143"/>
      <c r="L45" s="144"/>
      <c r="M45" s="106" t="str">
        <f>'[4]Dolnośląski'!E45</f>
        <v>-</v>
      </c>
      <c r="N45" s="145"/>
      <c r="O45" s="146"/>
      <c r="P45" s="106" t="str">
        <f>'[4]KujawskoPomorski'!E45</f>
        <v>-</v>
      </c>
      <c r="Q45" s="145"/>
      <c r="R45" s="146"/>
      <c r="S45" s="106" t="str">
        <f>'[4]Lubelski'!E45</f>
        <v>-</v>
      </c>
      <c r="T45" s="145"/>
      <c r="U45" s="146"/>
      <c r="V45" s="106" t="str">
        <f>'[4]Lubuski'!E45</f>
        <v>-</v>
      </c>
      <c r="W45" s="145"/>
      <c r="X45" s="146"/>
      <c r="Y45" s="106" t="str">
        <f>'[4]Łódzki'!E45</f>
        <v>-</v>
      </c>
      <c r="Z45" s="145"/>
      <c r="AA45" s="146"/>
      <c r="AB45" s="106" t="str">
        <f>'[4]Małopolski'!E45</f>
        <v>-</v>
      </c>
      <c r="AC45" s="145"/>
      <c r="AD45" s="146"/>
      <c r="AE45" s="106" t="str">
        <f>'[4]Mazowiecki'!E45</f>
        <v>-</v>
      </c>
      <c r="AF45" s="145"/>
      <c r="AG45" s="146"/>
      <c r="AH45" s="106" t="str">
        <f>'[4]Opolski'!E45</f>
        <v>-</v>
      </c>
      <c r="AI45" s="145"/>
      <c r="AJ45" s="146"/>
      <c r="AK45" s="106" t="str">
        <f>'[4]Podkarpacki'!E45</f>
        <v>-</v>
      </c>
      <c r="AL45" s="145"/>
      <c r="AM45" s="146"/>
      <c r="AN45" s="106" t="str">
        <f>'[4]Podlaski'!E45</f>
        <v>-</v>
      </c>
      <c r="AO45" s="145"/>
      <c r="AP45" s="146"/>
      <c r="AQ45" s="106" t="str">
        <f>'[4]Pomorski'!E45</f>
        <v>-</v>
      </c>
      <c r="AR45" s="145"/>
      <c r="AS45" s="146"/>
      <c r="AT45" s="106" t="str">
        <f>'[4]Śląski'!E45</f>
        <v>-</v>
      </c>
      <c r="AU45" s="145"/>
      <c r="AV45" s="146"/>
      <c r="AW45" s="106" t="str">
        <f>'[4]Świętokrzyski'!E45</f>
        <v>-</v>
      </c>
      <c r="AX45" s="145"/>
      <c r="AY45" s="146"/>
      <c r="AZ45" s="106" t="str">
        <f>'[4]WarmińskoMazurski'!E45</f>
        <v>-</v>
      </c>
      <c r="BA45" s="145"/>
      <c r="BB45" s="146"/>
      <c r="BC45" s="106" t="str">
        <f>'[4]Wielkopolski'!E45</f>
        <v>-</v>
      </c>
      <c r="BD45" s="145"/>
      <c r="BE45" s="146"/>
      <c r="BF45" s="106" t="str">
        <f>'[4]Zachodniopomorski'!E45</f>
        <v>-</v>
      </c>
      <c r="BG45" s="145"/>
    </row>
    <row r="46" spans="1:59" ht="20.25" hidden="1">
      <c r="A46" s="181" t="s">
        <v>59</v>
      </c>
      <c r="B46" s="182" t="s">
        <v>55</v>
      </c>
      <c r="C46" s="183"/>
      <c r="D46" s="54"/>
      <c r="E46" s="184"/>
      <c r="F46" s="183"/>
      <c r="G46" s="107" t="str">
        <f>'[4]CENTRALA'!E46</f>
        <v>-</v>
      </c>
      <c r="H46" s="143"/>
      <c r="I46" s="144"/>
      <c r="J46" s="107">
        <f t="shared" si="0"/>
        <v>0</v>
      </c>
      <c r="K46" s="143"/>
      <c r="L46" s="144"/>
      <c r="M46" s="106" t="str">
        <f>'[4]Dolnośląski'!E46</f>
        <v>-</v>
      </c>
      <c r="N46" s="145"/>
      <c r="O46" s="146"/>
      <c r="P46" s="106" t="str">
        <f>'[4]KujawskoPomorski'!E46</f>
        <v>-</v>
      </c>
      <c r="Q46" s="145"/>
      <c r="R46" s="146"/>
      <c r="S46" s="106" t="str">
        <f>'[4]Lubelski'!E46</f>
        <v>-</v>
      </c>
      <c r="T46" s="145"/>
      <c r="U46" s="146"/>
      <c r="V46" s="106" t="str">
        <f>'[4]Lubuski'!E46</f>
        <v>-</v>
      </c>
      <c r="W46" s="145"/>
      <c r="X46" s="146"/>
      <c r="Y46" s="106" t="str">
        <f>'[4]Łódzki'!E46</f>
        <v>-</v>
      </c>
      <c r="Z46" s="145"/>
      <c r="AA46" s="146"/>
      <c r="AB46" s="106" t="str">
        <f>'[4]Małopolski'!E46</f>
        <v>-</v>
      </c>
      <c r="AC46" s="145"/>
      <c r="AD46" s="146"/>
      <c r="AE46" s="106" t="str">
        <f>'[4]Mazowiecki'!E46</f>
        <v>-</v>
      </c>
      <c r="AF46" s="145"/>
      <c r="AG46" s="146"/>
      <c r="AH46" s="106" t="str">
        <f>'[4]Opolski'!E46</f>
        <v>-</v>
      </c>
      <c r="AI46" s="145"/>
      <c r="AJ46" s="146"/>
      <c r="AK46" s="106" t="str">
        <f>'[4]Podkarpacki'!E46</f>
        <v>-</v>
      </c>
      <c r="AL46" s="145"/>
      <c r="AM46" s="146"/>
      <c r="AN46" s="106" t="str">
        <f>'[4]Podlaski'!E46</f>
        <v>-</v>
      </c>
      <c r="AO46" s="145"/>
      <c r="AP46" s="146"/>
      <c r="AQ46" s="106" t="str">
        <f>'[4]Pomorski'!E46</f>
        <v>-</v>
      </c>
      <c r="AR46" s="145"/>
      <c r="AS46" s="146"/>
      <c r="AT46" s="106" t="str">
        <f>'[4]Śląski'!E46</f>
        <v>-</v>
      </c>
      <c r="AU46" s="145"/>
      <c r="AV46" s="146"/>
      <c r="AW46" s="106" t="str">
        <f>'[4]Świętokrzyski'!E46</f>
        <v>-</v>
      </c>
      <c r="AX46" s="145"/>
      <c r="AY46" s="146"/>
      <c r="AZ46" s="106" t="str">
        <f>'[4]WarmińskoMazurski'!E46</f>
        <v>-</v>
      </c>
      <c r="BA46" s="145"/>
      <c r="BB46" s="146"/>
      <c r="BC46" s="106" t="str">
        <f>'[4]Wielkopolski'!E46</f>
        <v>-</v>
      </c>
      <c r="BD46" s="145"/>
      <c r="BE46" s="146"/>
      <c r="BF46" s="106" t="str">
        <f>'[4]Zachodniopomorski'!E46</f>
        <v>-</v>
      </c>
      <c r="BG46" s="145"/>
    </row>
    <row r="47" spans="1:59" ht="20.25" hidden="1">
      <c r="A47" s="156" t="s">
        <v>27</v>
      </c>
      <c r="B47" s="175" t="s">
        <v>28</v>
      </c>
      <c r="C47" s="176"/>
      <c r="D47" s="51"/>
      <c r="E47" s="177"/>
      <c r="F47" s="176"/>
      <c r="G47" s="107" t="str">
        <f>'[4]CENTRALA'!E47</f>
        <v>-</v>
      </c>
      <c r="H47" s="143"/>
      <c r="I47" s="144"/>
      <c r="J47" s="107">
        <f t="shared" si="0"/>
        <v>0</v>
      </c>
      <c r="K47" s="143"/>
      <c r="L47" s="144"/>
      <c r="M47" s="106" t="str">
        <f>'[4]Dolnośląski'!E47</f>
        <v>-</v>
      </c>
      <c r="N47" s="145"/>
      <c r="O47" s="146"/>
      <c r="P47" s="106" t="str">
        <f>'[4]KujawskoPomorski'!E47</f>
        <v>-</v>
      </c>
      <c r="Q47" s="145"/>
      <c r="R47" s="146"/>
      <c r="S47" s="106" t="str">
        <f>'[4]Lubelski'!E47</f>
        <v>-</v>
      </c>
      <c r="T47" s="145"/>
      <c r="U47" s="146"/>
      <c r="V47" s="106" t="str">
        <f>'[4]Lubuski'!E47</f>
        <v>-</v>
      </c>
      <c r="W47" s="145"/>
      <c r="X47" s="146"/>
      <c r="Y47" s="106" t="str">
        <f>'[4]Łódzki'!E47</f>
        <v>-</v>
      </c>
      <c r="Z47" s="145"/>
      <c r="AA47" s="146"/>
      <c r="AB47" s="106" t="str">
        <f>'[4]Małopolski'!E47</f>
        <v>-</v>
      </c>
      <c r="AC47" s="145"/>
      <c r="AD47" s="146"/>
      <c r="AE47" s="106" t="str">
        <f>'[4]Mazowiecki'!E47</f>
        <v>-</v>
      </c>
      <c r="AF47" s="145"/>
      <c r="AG47" s="146"/>
      <c r="AH47" s="106" t="str">
        <f>'[4]Opolski'!E47</f>
        <v>-</v>
      </c>
      <c r="AI47" s="145"/>
      <c r="AJ47" s="146"/>
      <c r="AK47" s="106" t="str">
        <f>'[4]Podkarpacki'!E47</f>
        <v>-</v>
      </c>
      <c r="AL47" s="145"/>
      <c r="AM47" s="146"/>
      <c r="AN47" s="106" t="str">
        <f>'[4]Podlaski'!E47</f>
        <v>-</v>
      </c>
      <c r="AO47" s="145"/>
      <c r="AP47" s="146"/>
      <c r="AQ47" s="106" t="str">
        <f>'[4]Pomorski'!E47</f>
        <v>-</v>
      </c>
      <c r="AR47" s="145"/>
      <c r="AS47" s="146"/>
      <c r="AT47" s="106" t="str">
        <f>'[4]Śląski'!E47</f>
        <v>-</v>
      </c>
      <c r="AU47" s="145"/>
      <c r="AV47" s="146"/>
      <c r="AW47" s="106" t="str">
        <f>'[4]Świętokrzyski'!E47</f>
        <v>-</v>
      </c>
      <c r="AX47" s="145"/>
      <c r="AY47" s="146"/>
      <c r="AZ47" s="106" t="str">
        <f>'[4]WarmińskoMazurski'!E47</f>
        <v>-</v>
      </c>
      <c r="BA47" s="145"/>
      <c r="BB47" s="146"/>
      <c r="BC47" s="106" t="str">
        <f>'[4]Wielkopolski'!E47</f>
        <v>-</v>
      </c>
      <c r="BD47" s="145"/>
      <c r="BE47" s="146"/>
      <c r="BF47" s="106" t="str">
        <f>'[4]Zachodniopomorski'!E47</f>
        <v>-</v>
      </c>
      <c r="BG47" s="145"/>
    </row>
    <row r="48" spans="1:59" ht="60.75" hidden="1">
      <c r="A48" s="156" t="s">
        <v>29</v>
      </c>
      <c r="B48" s="175" t="s">
        <v>116</v>
      </c>
      <c r="C48" s="176"/>
      <c r="D48" s="51"/>
      <c r="E48" s="177"/>
      <c r="F48" s="176"/>
      <c r="G48" s="107" t="str">
        <f>'[4]CENTRALA'!E48</f>
        <v>-</v>
      </c>
      <c r="H48" s="143"/>
      <c r="I48" s="144"/>
      <c r="J48" s="107">
        <f t="shared" si="0"/>
        <v>0</v>
      </c>
      <c r="K48" s="143"/>
      <c r="L48" s="144"/>
      <c r="M48" s="106" t="str">
        <f>'[4]Dolnośląski'!E48</f>
        <v>-</v>
      </c>
      <c r="N48" s="145"/>
      <c r="O48" s="146"/>
      <c r="P48" s="106" t="str">
        <f>'[4]KujawskoPomorski'!E48</f>
        <v>-</v>
      </c>
      <c r="Q48" s="145"/>
      <c r="R48" s="146"/>
      <c r="S48" s="106" t="str">
        <f>'[4]Lubelski'!E48</f>
        <v>-</v>
      </c>
      <c r="T48" s="145"/>
      <c r="U48" s="146"/>
      <c r="V48" s="106" t="str">
        <f>'[4]Lubuski'!E48</f>
        <v>-</v>
      </c>
      <c r="W48" s="145"/>
      <c r="X48" s="146"/>
      <c r="Y48" s="106" t="str">
        <f>'[4]Łódzki'!E48</f>
        <v>-</v>
      </c>
      <c r="Z48" s="145"/>
      <c r="AA48" s="146"/>
      <c r="AB48" s="106" t="str">
        <f>'[4]Małopolski'!E48</f>
        <v>-</v>
      </c>
      <c r="AC48" s="145"/>
      <c r="AD48" s="146"/>
      <c r="AE48" s="106" t="str">
        <f>'[4]Mazowiecki'!E48</f>
        <v>-</v>
      </c>
      <c r="AF48" s="145"/>
      <c r="AG48" s="146"/>
      <c r="AH48" s="106" t="str">
        <f>'[4]Opolski'!E48</f>
        <v>-</v>
      </c>
      <c r="AI48" s="145"/>
      <c r="AJ48" s="146"/>
      <c r="AK48" s="106" t="str">
        <f>'[4]Podkarpacki'!E48</f>
        <v>-</v>
      </c>
      <c r="AL48" s="145"/>
      <c r="AM48" s="146"/>
      <c r="AN48" s="106" t="str">
        <f>'[4]Podlaski'!E48</f>
        <v>-</v>
      </c>
      <c r="AO48" s="145"/>
      <c r="AP48" s="146"/>
      <c r="AQ48" s="106" t="str">
        <f>'[4]Pomorski'!E48</f>
        <v>-</v>
      </c>
      <c r="AR48" s="145"/>
      <c r="AS48" s="146"/>
      <c r="AT48" s="106" t="str">
        <f>'[4]Śląski'!E48</f>
        <v>-</v>
      </c>
      <c r="AU48" s="145"/>
      <c r="AV48" s="146"/>
      <c r="AW48" s="106" t="str">
        <f>'[4]Świętokrzyski'!E48</f>
        <v>-</v>
      </c>
      <c r="AX48" s="145"/>
      <c r="AY48" s="146"/>
      <c r="AZ48" s="106" t="str">
        <f>'[4]WarmińskoMazurski'!E48</f>
        <v>-</v>
      </c>
      <c r="BA48" s="145"/>
      <c r="BB48" s="146"/>
      <c r="BC48" s="106" t="str">
        <f>'[4]Wielkopolski'!E48</f>
        <v>-</v>
      </c>
      <c r="BD48" s="145"/>
      <c r="BE48" s="146"/>
      <c r="BF48" s="106" t="str">
        <f>'[4]Zachodniopomorski'!E48</f>
        <v>-</v>
      </c>
      <c r="BG48" s="145"/>
    </row>
    <row r="49" spans="1:59" ht="60.75" hidden="1">
      <c r="A49" s="156" t="s">
        <v>30</v>
      </c>
      <c r="B49" s="175" t="s">
        <v>31</v>
      </c>
      <c r="C49" s="176"/>
      <c r="D49" s="51"/>
      <c r="E49" s="177"/>
      <c r="F49" s="176"/>
      <c r="G49" s="107" t="str">
        <f>'[4]CENTRALA'!E49</f>
        <v>-</v>
      </c>
      <c r="H49" s="143"/>
      <c r="I49" s="144"/>
      <c r="J49" s="107">
        <f t="shared" si="0"/>
        <v>0</v>
      </c>
      <c r="K49" s="143"/>
      <c r="L49" s="144"/>
      <c r="M49" s="106" t="str">
        <f>'[4]Dolnośląski'!E49</f>
        <v>-</v>
      </c>
      <c r="N49" s="145"/>
      <c r="O49" s="146"/>
      <c r="P49" s="106" t="str">
        <f>'[4]KujawskoPomorski'!E49</f>
        <v>-</v>
      </c>
      <c r="Q49" s="145"/>
      <c r="R49" s="146"/>
      <c r="S49" s="106" t="str">
        <f>'[4]Lubelski'!E49</f>
        <v>-</v>
      </c>
      <c r="T49" s="145"/>
      <c r="U49" s="146"/>
      <c r="V49" s="106" t="str">
        <f>'[4]Lubuski'!E49</f>
        <v>-</v>
      </c>
      <c r="W49" s="145"/>
      <c r="X49" s="146"/>
      <c r="Y49" s="106" t="str">
        <f>'[4]Łódzki'!E49</f>
        <v>-</v>
      </c>
      <c r="Z49" s="145"/>
      <c r="AA49" s="146"/>
      <c r="AB49" s="106" t="str">
        <f>'[4]Małopolski'!E49</f>
        <v>-</v>
      </c>
      <c r="AC49" s="145"/>
      <c r="AD49" s="146"/>
      <c r="AE49" s="106" t="str">
        <f>'[4]Mazowiecki'!E49</f>
        <v>-</v>
      </c>
      <c r="AF49" s="145"/>
      <c r="AG49" s="146"/>
      <c r="AH49" s="106" t="str">
        <f>'[4]Opolski'!E49</f>
        <v>-</v>
      </c>
      <c r="AI49" s="145"/>
      <c r="AJ49" s="146"/>
      <c r="AK49" s="106" t="str">
        <f>'[4]Podkarpacki'!E49</f>
        <v>-</v>
      </c>
      <c r="AL49" s="145"/>
      <c r="AM49" s="146"/>
      <c r="AN49" s="106" t="str">
        <f>'[4]Podlaski'!E49</f>
        <v>-</v>
      </c>
      <c r="AO49" s="145"/>
      <c r="AP49" s="146"/>
      <c r="AQ49" s="106" t="str">
        <f>'[4]Pomorski'!E49</f>
        <v>-</v>
      </c>
      <c r="AR49" s="145"/>
      <c r="AS49" s="146"/>
      <c r="AT49" s="106" t="str">
        <f>'[4]Śląski'!E49</f>
        <v>-</v>
      </c>
      <c r="AU49" s="145"/>
      <c r="AV49" s="146"/>
      <c r="AW49" s="106" t="str">
        <f>'[4]Świętokrzyski'!E49</f>
        <v>-</v>
      </c>
      <c r="AX49" s="145"/>
      <c r="AY49" s="146"/>
      <c r="AZ49" s="106" t="str">
        <f>'[4]WarmińskoMazurski'!E49</f>
        <v>-</v>
      </c>
      <c r="BA49" s="145"/>
      <c r="BB49" s="146"/>
      <c r="BC49" s="106" t="str">
        <f>'[4]Wielkopolski'!E49</f>
        <v>-</v>
      </c>
      <c r="BD49" s="145"/>
      <c r="BE49" s="146"/>
      <c r="BF49" s="106" t="str">
        <f>'[4]Zachodniopomorski'!E49</f>
        <v>-</v>
      </c>
      <c r="BG49" s="145"/>
    </row>
    <row r="50" spans="1:59" ht="20.25" hidden="1">
      <c r="A50" s="156" t="s">
        <v>32</v>
      </c>
      <c r="B50" s="175" t="s">
        <v>33</v>
      </c>
      <c r="C50" s="176"/>
      <c r="D50" s="51"/>
      <c r="E50" s="177"/>
      <c r="F50" s="176"/>
      <c r="G50" s="107" t="str">
        <f>'[4]CENTRALA'!E50</f>
        <v>-</v>
      </c>
      <c r="H50" s="143"/>
      <c r="I50" s="144"/>
      <c r="J50" s="107">
        <f t="shared" si="0"/>
        <v>0</v>
      </c>
      <c r="K50" s="143"/>
      <c r="L50" s="144"/>
      <c r="M50" s="106" t="str">
        <f>'[4]Dolnośląski'!E50</f>
        <v>-</v>
      </c>
      <c r="N50" s="145"/>
      <c r="O50" s="146"/>
      <c r="P50" s="106" t="str">
        <f>'[4]KujawskoPomorski'!E50</f>
        <v>-</v>
      </c>
      <c r="Q50" s="145"/>
      <c r="R50" s="146"/>
      <c r="S50" s="106" t="str">
        <f>'[4]Lubelski'!E50</f>
        <v>-</v>
      </c>
      <c r="T50" s="145"/>
      <c r="U50" s="146"/>
      <c r="V50" s="106" t="str">
        <f>'[4]Lubuski'!E50</f>
        <v>-</v>
      </c>
      <c r="W50" s="145"/>
      <c r="X50" s="146"/>
      <c r="Y50" s="106" t="str">
        <f>'[4]Łódzki'!E50</f>
        <v>-</v>
      </c>
      <c r="Z50" s="145"/>
      <c r="AA50" s="146"/>
      <c r="AB50" s="106" t="str">
        <f>'[4]Małopolski'!E50</f>
        <v>-</v>
      </c>
      <c r="AC50" s="145"/>
      <c r="AD50" s="146"/>
      <c r="AE50" s="106" t="str">
        <f>'[4]Mazowiecki'!E50</f>
        <v>-</v>
      </c>
      <c r="AF50" s="145"/>
      <c r="AG50" s="146"/>
      <c r="AH50" s="106" t="str">
        <f>'[4]Opolski'!E50</f>
        <v>-</v>
      </c>
      <c r="AI50" s="145"/>
      <c r="AJ50" s="146"/>
      <c r="AK50" s="106" t="str">
        <f>'[4]Podkarpacki'!E50</f>
        <v>-</v>
      </c>
      <c r="AL50" s="145"/>
      <c r="AM50" s="146"/>
      <c r="AN50" s="106" t="str">
        <f>'[4]Podlaski'!E50</f>
        <v>-</v>
      </c>
      <c r="AO50" s="145"/>
      <c r="AP50" s="146"/>
      <c r="AQ50" s="106" t="str">
        <f>'[4]Pomorski'!E50</f>
        <v>-</v>
      </c>
      <c r="AR50" s="145"/>
      <c r="AS50" s="146"/>
      <c r="AT50" s="106" t="str">
        <f>'[4]Śląski'!E50</f>
        <v>-</v>
      </c>
      <c r="AU50" s="145"/>
      <c r="AV50" s="146"/>
      <c r="AW50" s="106" t="str">
        <f>'[4]Świętokrzyski'!E50</f>
        <v>-</v>
      </c>
      <c r="AX50" s="145"/>
      <c r="AY50" s="146"/>
      <c r="AZ50" s="106" t="str">
        <f>'[4]WarmińskoMazurski'!E50</f>
        <v>-</v>
      </c>
      <c r="BA50" s="145"/>
      <c r="BB50" s="146"/>
      <c r="BC50" s="106" t="str">
        <f>'[4]Wielkopolski'!E50</f>
        <v>-</v>
      </c>
      <c r="BD50" s="145"/>
      <c r="BE50" s="146"/>
      <c r="BF50" s="106" t="str">
        <f>'[4]Zachodniopomorski'!E50</f>
        <v>-</v>
      </c>
      <c r="BG50" s="145"/>
    </row>
    <row r="51" spans="1:59" s="3" customFormat="1" ht="22.5">
      <c r="A51" s="188" t="s">
        <v>34</v>
      </c>
      <c r="B51" s="189" t="s">
        <v>176</v>
      </c>
      <c r="C51" s="190">
        <f>SUM(C52:C55)</f>
        <v>256500</v>
      </c>
      <c r="D51" s="110">
        <f>SUM(D52:D55)</f>
        <v>92483</v>
      </c>
      <c r="E51" s="191">
        <f>SUM(E52:E55)</f>
        <v>348983</v>
      </c>
      <c r="F51" s="190">
        <f>SUM(F52:F55)</f>
        <v>872</v>
      </c>
      <c r="G51" s="110">
        <f>SUM(G52:G55)</f>
        <v>67074</v>
      </c>
      <c r="H51" s="191">
        <f aca="true" t="shared" si="1" ref="H51:BG51">SUM(H52:H55)</f>
        <v>67946</v>
      </c>
      <c r="I51" s="190">
        <f t="shared" si="1"/>
        <v>255628</v>
      </c>
      <c r="J51" s="110">
        <f t="shared" si="1"/>
        <v>25409</v>
      </c>
      <c r="K51" s="191">
        <f t="shared" si="1"/>
        <v>281037</v>
      </c>
      <c r="L51" s="190">
        <f t="shared" si="1"/>
        <v>16166</v>
      </c>
      <c r="M51" s="110">
        <f t="shared" si="1"/>
        <v>12</v>
      </c>
      <c r="N51" s="191">
        <f t="shared" si="1"/>
        <v>16178</v>
      </c>
      <c r="O51" s="190">
        <f t="shared" si="1"/>
        <v>12369</v>
      </c>
      <c r="P51" s="110">
        <f t="shared" si="1"/>
        <v>48604</v>
      </c>
      <c r="Q51" s="191">
        <f t="shared" si="1"/>
        <v>60973</v>
      </c>
      <c r="R51" s="190">
        <f t="shared" si="1"/>
        <v>12632</v>
      </c>
      <c r="S51" s="110">
        <f t="shared" si="1"/>
        <v>-530</v>
      </c>
      <c r="T51" s="191">
        <f t="shared" si="1"/>
        <v>12102</v>
      </c>
      <c r="U51" s="190">
        <f t="shared" si="1"/>
        <v>9200</v>
      </c>
      <c r="V51" s="110">
        <f t="shared" si="1"/>
        <v>-1979</v>
      </c>
      <c r="W51" s="191">
        <f t="shared" si="1"/>
        <v>7221</v>
      </c>
      <c r="X51" s="190">
        <f t="shared" si="1"/>
        <v>15630</v>
      </c>
      <c r="Y51" s="110">
        <f t="shared" si="1"/>
        <v>-8216</v>
      </c>
      <c r="Z51" s="191">
        <f t="shared" si="1"/>
        <v>7414</v>
      </c>
      <c r="AA51" s="190">
        <f t="shared" si="1"/>
        <v>19832</v>
      </c>
      <c r="AB51" s="110">
        <f t="shared" si="1"/>
        <v>-6492</v>
      </c>
      <c r="AC51" s="191">
        <f t="shared" si="1"/>
        <v>13340</v>
      </c>
      <c r="AD51" s="190">
        <f t="shared" si="1"/>
        <v>37504</v>
      </c>
      <c r="AE51" s="110">
        <f t="shared" si="1"/>
        <v>28353</v>
      </c>
      <c r="AF51" s="191">
        <f t="shared" si="1"/>
        <v>65857</v>
      </c>
      <c r="AG51" s="190">
        <f t="shared" si="1"/>
        <v>6754</v>
      </c>
      <c r="AH51" s="110">
        <f t="shared" si="1"/>
        <v>-4849</v>
      </c>
      <c r="AI51" s="191">
        <f t="shared" si="1"/>
        <v>1905</v>
      </c>
      <c r="AJ51" s="190">
        <f t="shared" si="1"/>
        <v>10554</v>
      </c>
      <c r="AK51" s="110">
        <f t="shared" si="1"/>
        <v>-2497</v>
      </c>
      <c r="AL51" s="191">
        <f t="shared" si="1"/>
        <v>8057</v>
      </c>
      <c r="AM51" s="190">
        <f t="shared" si="1"/>
        <v>7121</v>
      </c>
      <c r="AN51" s="110">
        <f t="shared" si="1"/>
        <v>-5721</v>
      </c>
      <c r="AO51" s="191">
        <f t="shared" si="1"/>
        <v>1400</v>
      </c>
      <c r="AP51" s="190">
        <f t="shared" si="1"/>
        <v>14214</v>
      </c>
      <c r="AQ51" s="110">
        <f t="shared" si="1"/>
        <v>-11580</v>
      </c>
      <c r="AR51" s="191">
        <f t="shared" si="1"/>
        <v>2634</v>
      </c>
      <c r="AS51" s="190">
        <f t="shared" si="1"/>
        <v>34279</v>
      </c>
      <c r="AT51" s="110">
        <f t="shared" si="1"/>
        <v>-17520</v>
      </c>
      <c r="AU51" s="191">
        <f t="shared" si="1"/>
        <v>16759</v>
      </c>
      <c r="AV51" s="190">
        <f t="shared" si="1"/>
        <v>18406</v>
      </c>
      <c r="AW51" s="110">
        <f t="shared" si="1"/>
        <v>-4876</v>
      </c>
      <c r="AX51" s="191">
        <f t="shared" si="1"/>
        <v>13530</v>
      </c>
      <c r="AY51" s="190">
        <f t="shared" si="1"/>
        <v>8015</v>
      </c>
      <c r="AZ51" s="110">
        <f t="shared" si="1"/>
        <v>2769</v>
      </c>
      <c r="BA51" s="191">
        <f t="shared" si="1"/>
        <v>10784</v>
      </c>
      <c r="BB51" s="190">
        <f t="shared" si="1"/>
        <v>23387</v>
      </c>
      <c r="BC51" s="110">
        <f t="shared" si="1"/>
        <v>13832</v>
      </c>
      <c r="BD51" s="191">
        <f t="shared" si="1"/>
        <v>37219</v>
      </c>
      <c r="BE51" s="190">
        <f t="shared" si="1"/>
        <v>9565</v>
      </c>
      <c r="BF51" s="110">
        <f t="shared" si="1"/>
        <v>-3901</v>
      </c>
      <c r="BG51" s="191">
        <f t="shared" si="1"/>
        <v>5664</v>
      </c>
    </row>
    <row r="52" spans="1:59" ht="66" customHeight="1">
      <c r="A52" s="156" t="s">
        <v>119</v>
      </c>
      <c r="B52" s="175" t="s">
        <v>144</v>
      </c>
      <c r="C52" s="144">
        <f>'[4]NFZ'!C75</f>
        <v>13264</v>
      </c>
      <c r="D52" s="107">
        <f>'[4]NFZ'!E75</f>
        <v>-6613</v>
      </c>
      <c r="E52" s="143">
        <f>'[4]NFZ'!D75</f>
        <v>6651</v>
      </c>
      <c r="F52" s="144">
        <f>'[4]CENTRALA'!C52</f>
        <v>0</v>
      </c>
      <c r="G52" s="107" t="str">
        <f>'[4]CENTRALA'!E52</f>
        <v>-</v>
      </c>
      <c r="H52" s="143">
        <f>'[4]CENTRALA'!D52</f>
        <v>0</v>
      </c>
      <c r="I52" s="144">
        <f>'[4]Razem OW'!C52</f>
        <v>13264</v>
      </c>
      <c r="J52" s="107">
        <f>'[4]Razem OW'!E52</f>
        <v>-6613</v>
      </c>
      <c r="K52" s="143">
        <f>'[4]Razem OW'!D52</f>
        <v>6651</v>
      </c>
      <c r="L52" s="144">
        <f>'[4]Dolnośląski'!C52</f>
        <v>8</v>
      </c>
      <c r="M52" s="106">
        <f>'[4]Dolnośląski'!E52</f>
        <v>12</v>
      </c>
      <c r="N52" s="145">
        <f>'[4]Dolnośląski'!D52</f>
        <v>20</v>
      </c>
      <c r="O52" s="146">
        <f>'[4]KujawskoPomorski'!C52</f>
        <v>477</v>
      </c>
      <c r="P52" s="106">
        <f>'[4]KujawskoPomorski'!E52</f>
        <v>-463</v>
      </c>
      <c r="Q52" s="145">
        <f>'[4]KujawskoPomorski'!D52</f>
        <v>14</v>
      </c>
      <c r="R52" s="146">
        <f>'[4]Lubelski'!C52</f>
        <v>51</v>
      </c>
      <c r="S52" s="106">
        <f>'[4]Lubelski'!E52</f>
        <v>-36</v>
      </c>
      <c r="T52" s="145">
        <f>'[4]Lubelski'!D52</f>
        <v>15</v>
      </c>
      <c r="U52" s="146">
        <f>'[4]Lubuski'!C52</f>
        <v>4087</v>
      </c>
      <c r="V52" s="106">
        <f>'[4]Lubuski'!E52</f>
        <v>-942</v>
      </c>
      <c r="W52" s="145">
        <f>'[4]Lubuski'!D52</f>
        <v>3145</v>
      </c>
      <c r="X52" s="146">
        <f>'[4]Łódzki'!C52</f>
        <v>617</v>
      </c>
      <c r="Y52" s="106">
        <f>'[4]Łódzki'!E52</f>
        <v>-590</v>
      </c>
      <c r="Z52" s="145">
        <f>'[4]Łódzki'!D52</f>
        <v>27</v>
      </c>
      <c r="AA52" s="146">
        <f>'[4]Małopolski'!C52</f>
        <v>537</v>
      </c>
      <c r="AB52" s="106">
        <f>'[4]Małopolski'!E52</f>
        <v>-527</v>
      </c>
      <c r="AC52" s="145">
        <f>'[4]Małopolski'!D52</f>
        <v>10</v>
      </c>
      <c r="AD52" s="146">
        <f>'[4]Mazowiecki'!C52</f>
        <v>1609</v>
      </c>
      <c r="AE52" s="106">
        <f>'[4]Mazowiecki'!E52</f>
        <v>-1594</v>
      </c>
      <c r="AF52" s="145">
        <f>'[4]Mazowiecki'!D52</f>
        <v>15</v>
      </c>
      <c r="AG52" s="146">
        <f>'[4]Opolski'!C52</f>
        <v>1632</v>
      </c>
      <c r="AH52" s="106">
        <f>'[4]Opolski'!E52</f>
        <v>62</v>
      </c>
      <c r="AI52" s="145">
        <f>'[4]Opolski'!D52</f>
        <v>1694</v>
      </c>
      <c r="AJ52" s="146">
        <f>'[4]Podkarpacki'!C52</f>
        <v>247</v>
      </c>
      <c r="AK52" s="106">
        <f>'[4]Podkarpacki'!E52</f>
        <v>-240</v>
      </c>
      <c r="AL52" s="145">
        <f>'[4]Podkarpacki'!D52</f>
        <v>7</v>
      </c>
      <c r="AM52" s="146">
        <f>'[4]Podlaski'!C52</f>
        <v>175</v>
      </c>
      <c r="AN52" s="106">
        <f>'[4]Podlaski'!E52</f>
        <v>-169</v>
      </c>
      <c r="AO52" s="145">
        <f>'[4]Podlaski'!D52</f>
        <v>6</v>
      </c>
      <c r="AP52" s="146">
        <f>'[4]Pomorski'!C52</f>
        <v>1161</v>
      </c>
      <c r="AQ52" s="106">
        <f>'[4]Pomorski'!E52</f>
        <v>-124</v>
      </c>
      <c r="AR52" s="145">
        <f>'[4]Pomorski'!D52</f>
        <v>1037</v>
      </c>
      <c r="AS52" s="146">
        <f>'[4]Śląski'!C52</f>
        <v>890</v>
      </c>
      <c r="AT52" s="106">
        <f>'[4]Śląski'!E52</f>
        <v>-500</v>
      </c>
      <c r="AU52" s="145">
        <f>'[4]Śląski'!D52</f>
        <v>390</v>
      </c>
      <c r="AV52" s="146">
        <f>'[4]Świętokrzyski'!C52</f>
        <v>308</v>
      </c>
      <c r="AW52" s="106">
        <f>'[4]Świętokrzyski'!E52</f>
        <v>-298</v>
      </c>
      <c r="AX52" s="145">
        <f>'[4]Świętokrzyski'!D52</f>
        <v>10</v>
      </c>
      <c r="AY52" s="146">
        <f>'[4]WarmińskoMazurski'!C52</f>
        <v>215</v>
      </c>
      <c r="AZ52" s="106" t="str">
        <f>'[4]WarmińskoMazurski'!E52</f>
        <v>-</v>
      </c>
      <c r="BA52" s="145">
        <f>'[4]WarmińskoMazurski'!D52</f>
        <v>215</v>
      </c>
      <c r="BB52" s="146">
        <f>'[4]Wielkopolski'!C52</f>
        <v>1235</v>
      </c>
      <c r="BC52" s="106">
        <f>'[4]Wielkopolski'!E52</f>
        <v>-1205</v>
      </c>
      <c r="BD52" s="145">
        <f>'[4]Wielkopolski'!D52</f>
        <v>30</v>
      </c>
      <c r="BE52" s="146">
        <f>'[4]Zachodniopomorski'!C52</f>
        <v>15</v>
      </c>
      <c r="BF52" s="106">
        <f>'[4]Zachodniopomorski'!E52</f>
        <v>1</v>
      </c>
      <c r="BG52" s="145">
        <f>'[4]Zachodniopomorski'!D52</f>
        <v>16</v>
      </c>
    </row>
    <row r="53" spans="1:59" ht="46.5" customHeight="1">
      <c r="A53" s="156" t="s">
        <v>35</v>
      </c>
      <c r="B53" s="175" t="s">
        <v>63</v>
      </c>
      <c r="C53" s="144">
        <f>'[4]NFZ'!C76</f>
        <v>224451</v>
      </c>
      <c r="D53" s="107">
        <f>'[4]NFZ'!E76</f>
        <v>35723</v>
      </c>
      <c r="E53" s="143">
        <f>'[4]NFZ'!D76</f>
        <v>260174</v>
      </c>
      <c r="F53" s="144">
        <f>'[4]CENTRALA'!C53</f>
        <v>600</v>
      </c>
      <c r="G53" s="107" t="str">
        <f>'[4]CENTRALA'!E53</f>
        <v>-</v>
      </c>
      <c r="H53" s="143">
        <f>'[4]CENTRALA'!D53</f>
        <v>600</v>
      </c>
      <c r="I53" s="144">
        <f>'[4]Razem OW'!C53</f>
        <v>223851</v>
      </c>
      <c r="J53" s="107">
        <f>'[4]Razem OW'!E53</f>
        <v>35723</v>
      </c>
      <c r="K53" s="143">
        <f>'[4]Razem OW'!D53</f>
        <v>259574</v>
      </c>
      <c r="L53" s="144">
        <f>'[4]Dolnośląski'!C53</f>
        <v>16058</v>
      </c>
      <c r="M53" s="106" t="str">
        <f>'[4]Dolnośląski'!E53</f>
        <v>-</v>
      </c>
      <c r="N53" s="145">
        <f>'[4]Dolnośląski'!D53</f>
        <v>16058</v>
      </c>
      <c r="O53" s="146">
        <f>'[4]KujawskoPomorski'!C53</f>
        <v>11617</v>
      </c>
      <c r="P53" s="106">
        <f>'[4]KujawskoPomorski'!E53</f>
        <v>47542</v>
      </c>
      <c r="Q53" s="145">
        <f>'[4]KujawskoPomorski'!D53</f>
        <v>59159</v>
      </c>
      <c r="R53" s="146">
        <f>'[4]Lubelski'!C53</f>
        <v>11837</v>
      </c>
      <c r="S53" s="106" t="str">
        <f>'[4]Lubelski'!E53</f>
        <v>-</v>
      </c>
      <c r="T53" s="145">
        <f>'[4]Lubelski'!D53</f>
        <v>11837</v>
      </c>
      <c r="U53" s="146">
        <f>'[4]Lubuski'!C53</f>
        <v>4913</v>
      </c>
      <c r="V53" s="106">
        <f>'[4]Lubuski'!E53</f>
        <v>-867</v>
      </c>
      <c r="W53" s="145">
        <f>'[4]Lubuski'!D53</f>
        <v>4046</v>
      </c>
      <c r="X53" s="146">
        <f>'[4]Łódzki'!C53</f>
        <v>14213</v>
      </c>
      <c r="Y53" s="106">
        <f>'[4]Łódzki'!E53</f>
        <v>-8226</v>
      </c>
      <c r="Z53" s="145">
        <f>'[4]Łódzki'!D53</f>
        <v>5987</v>
      </c>
      <c r="AA53" s="146">
        <f>'[4]Małopolski'!C53</f>
        <v>18295</v>
      </c>
      <c r="AB53" s="106">
        <f>'[4]Małopolski'!E53</f>
        <v>-5965</v>
      </c>
      <c r="AC53" s="145">
        <f>'[4]Małopolski'!D53</f>
        <v>12330</v>
      </c>
      <c r="AD53" s="146">
        <f>'[4]Mazowiecki'!C53</f>
        <v>33895</v>
      </c>
      <c r="AE53" s="106">
        <f>'[4]Mazowiecki'!E53</f>
        <v>29947</v>
      </c>
      <c r="AF53" s="145">
        <f>'[4]Mazowiecki'!D53</f>
        <v>63842</v>
      </c>
      <c r="AG53" s="146">
        <f>'[4]Opolski'!C53</f>
        <v>5022</v>
      </c>
      <c r="AH53" s="106">
        <f>'[4]Opolski'!E53</f>
        <v>-4820</v>
      </c>
      <c r="AI53" s="145">
        <f>'[4]Opolski'!D53</f>
        <v>202</v>
      </c>
      <c r="AJ53" s="146">
        <f>'[4]Podkarpacki'!C53</f>
        <v>10057</v>
      </c>
      <c r="AK53" s="106">
        <f>'[4]Podkarpacki'!E53</f>
        <v>-2257</v>
      </c>
      <c r="AL53" s="145">
        <f>'[4]Podkarpacki'!D53</f>
        <v>7800</v>
      </c>
      <c r="AM53" s="146">
        <f>'[4]Podlaski'!C53</f>
        <v>6496</v>
      </c>
      <c r="AN53" s="106">
        <f>'[4]Podlaski'!E53</f>
        <v>-5712</v>
      </c>
      <c r="AO53" s="145">
        <f>'[4]Podlaski'!D53</f>
        <v>784</v>
      </c>
      <c r="AP53" s="146">
        <f>'[4]Pomorski'!C53</f>
        <v>11453</v>
      </c>
      <c r="AQ53" s="106">
        <f>'[4]Pomorski'!E53</f>
        <v>-10052</v>
      </c>
      <c r="AR53" s="145">
        <f>'[4]Pomorski'!D53</f>
        <v>1401</v>
      </c>
      <c r="AS53" s="146">
        <f>'[4]Śląski'!C53</f>
        <v>27160</v>
      </c>
      <c r="AT53" s="106">
        <f>'[4]Śląski'!E53</f>
        <v>-17020</v>
      </c>
      <c r="AU53" s="145">
        <f>'[4]Śląski'!D53</f>
        <v>10140</v>
      </c>
      <c r="AV53" s="146">
        <f>'[4]Świętokrzyski'!C53</f>
        <v>17598</v>
      </c>
      <c r="AW53" s="106">
        <f>'[4]Świętokrzyski'!E53</f>
        <v>-4098</v>
      </c>
      <c r="AX53" s="145">
        <f>'[4]Świętokrzyski'!D53</f>
        <v>13500</v>
      </c>
      <c r="AY53" s="146">
        <f>'[4]WarmińskoMazurski'!C53</f>
        <v>7200</v>
      </c>
      <c r="AZ53" s="106">
        <f>'[4]WarmińskoMazurski'!E53</f>
        <v>2769</v>
      </c>
      <c r="BA53" s="145">
        <f>'[4]WarmińskoMazurski'!D53</f>
        <v>9969</v>
      </c>
      <c r="BB53" s="146">
        <f>'[4]Wielkopolski'!C53</f>
        <v>18707</v>
      </c>
      <c r="BC53" s="106">
        <f>'[4]Wielkopolski'!E53</f>
        <v>18182</v>
      </c>
      <c r="BD53" s="145">
        <f>'[4]Wielkopolski'!D53</f>
        <v>36889</v>
      </c>
      <c r="BE53" s="146">
        <f>'[4]Zachodniopomorski'!C53</f>
        <v>9330</v>
      </c>
      <c r="BF53" s="106">
        <f>'[4]Zachodniopomorski'!E53</f>
        <v>-3700</v>
      </c>
      <c r="BG53" s="145">
        <f>'[4]Zachodniopomorski'!D53</f>
        <v>5630</v>
      </c>
    </row>
    <row r="54" spans="1:59" ht="20.25">
      <c r="A54" s="156" t="s">
        <v>36</v>
      </c>
      <c r="B54" s="175" t="s">
        <v>121</v>
      </c>
      <c r="C54" s="144">
        <f>'[4]NFZ'!C77</f>
        <v>0</v>
      </c>
      <c r="D54" s="107" t="str">
        <f>'[4]NFZ'!E77</f>
        <v>-</v>
      </c>
      <c r="E54" s="143">
        <f>'[4]NFZ'!D77</f>
        <v>0</v>
      </c>
      <c r="F54" s="144">
        <f>'[4]CENTRALA'!C54</f>
        <v>0</v>
      </c>
      <c r="G54" s="107" t="str">
        <f>'[4]CENTRALA'!E54</f>
        <v>-</v>
      </c>
      <c r="H54" s="143">
        <f>'[4]CENTRALA'!D54</f>
        <v>0</v>
      </c>
      <c r="I54" s="144">
        <f>'[4]Razem OW'!C54</f>
        <v>0</v>
      </c>
      <c r="J54" s="107" t="str">
        <f>'[4]Razem OW'!E54</f>
        <v>-</v>
      </c>
      <c r="K54" s="143">
        <f>'[4]Razem OW'!D54</f>
        <v>0</v>
      </c>
      <c r="L54" s="144">
        <f>'[4]Dolnośląski'!C54</f>
        <v>0</v>
      </c>
      <c r="M54" s="106" t="str">
        <f>'[4]Dolnośląski'!E54</f>
        <v>-</v>
      </c>
      <c r="N54" s="145">
        <f>'[4]Dolnośląski'!D54</f>
        <v>0</v>
      </c>
      <c r="O54" s="146">
        <f>'[4]KujawskoPomorski'!C54</f>
        <v>0</v>
      </c>
      <c r="P54" s="106" t="str">
        <f>'[4]KujawskoPomorski'!E54</f>
        <v>-</v>
      </c>
      <c r="Q54" s="145">
        <f>'[4]KujawskoPomorski'!D54</f>
        <v>0</v>
      </c>
      <c r="R54" s="146">
        <f>'[4]Lubelski'!C54</f>
        <v>0</v>
      </c>
      <c r="S54" s="106" t="str">
        <f>'[4]Lubelski'!E54</f>
        <v>-</v>
      </c>
      <c r="T54" s="145">
        <f>'[4]Lubelski'!D54</f>
        <v>0</v>
      </c>
      <c r="U54" s="146">
        <f>'[4]Lubuski'!C54</f>
        <v>0</v>
      </c>
      <c r="V54" s="106" t="str">
        <f>'[4]Lubuski'!E54</f>
        <v>-</v>
      </c>
      <c r="W54" s="145">
        <f>'[4]Lubuski'!D54</f>
        <v>0</v>
      </c>
      <c r="X54" s="146">
        <f>'[4]Łódzki'!C54</f>
        <v>0</v>
      </c>
      <c r="Y54" s="106" t="str">
        <f>'[4]Łódzki'!E54</f>
        <v>-</v>
      </c>
      <c r="Z54" s="145">
        <f>'[4]Łódzki'!D54</f>
        <v>0</v>
      </c>
      <c r="AA54" s="146">
        <f>'[4]Małopolski'!C54</f>
        <v>0</v>
      </c>
      <c r="AB54" s="106" t="str">
        <f>'[4]Małopolski'!E54</f>
        <v>-</v>
      </c>
      <c r="AC54" s="145">
        <f>'[4]Małopolski'!D54</f>
        <v>0</v>
      </c>
      <c r="AD54" s="146">
        <f>'[4]Mazowiecki'!C54</f>
        <v>0</v>
      </c>
      <c r="AE54" s="106" t="str">
        <f>'[4]Mazowiecki'!E54</f>
        <v>-</v>
      </c>
      <c r="AF54" s="145">
        <f>'[4]Mazowiecki'!D54</f>
        <v>0</v>
      </c>
      <c r="AG54" s="146">
        <f>'[4]Opolski'!C54</f>
        <v>0</v>
      </c>
      <c r="AH54" s="106" t="str">
        <f>'[4]Opolski'!E54</f>
        <v>-</v>
      </c>
      <c r="AI54" s="145">
        <f>'[4]Opolski'!D54</f>
        <v>0</v>
      </c>
      <c r="AJ54" s="146">
        <f>'[4]Podkarpacki'!C54</f>
        <v>0</v>
      </c>
      <c r="AK54" s="106" t="str">
        <f>'[4]Podkarpacki'!E54</f>
        <v>-</v>
      </c>
      <c r="AL54" s="145">
        <f>'[4]Podkarpacki'!D54</f>
        <v>0</v>
      </c>
      <c r="AM54" s="146">
        <f>'[4]Podlaski'!C54</f>
        <v>0</v>
      </c>
      <c r="AN54" s="106" t="str">
        <f>'[4]Podlaski'!E54</f>
        <v>-</v>
      </c>
      <c r="AO54" s="145">
        <f>'[4]Podlaski'!D54</f>
        <v>0</v>
      </c>
      <c r="AP54" s="146">
        <f>'[4]Pomorski'!C54</f>
        <v>0</v>
      </c>
      <c r="AQ54" s="106" t="str">
        <f>'[4]Pomorski'!E54</f>
        <v>-</v>
      </c>
      <c r="AR54" s="145">
        <f>'[4]Pomorski'!D54</f>
        <v>0</v>
      </c>
      <c r="AS54" s="146">
        <f>'[4]Śląski'!C54</f>
        <v>0</v>
      </c>
      <c r="AT54" s="106" t="str">
        <f>'[4]Śląski'!E54</f>
        <v>-</v>
      </c>
      <c r="AU54" s="145">
        <f>'[4]Śląski'!D54</f>
        <v>0</v>
      </c>
      <c r="AV54" s="146">
        <f>'[4]Świętokrzyski'!C54</f>
        <v>0</v>
      </c>
      <c r="AW54" s="106" t="str">
        <f>'[4]Świętokrzyski'!E54</f>
        <v>-</v>
      </c>
      <c r="AX54" s="145">
        <f>'[4]Świętokrzyski'!D54</f>
        <v>0</v>
      </c>
      <c r="AY54" s="146">
        <f>'[4]WarmińskoMazurski'!C54</f>
        <v>0</v>
      </c>
      <c r="AZ54" s="106" t="str">
        <f>'[4]WarmińskoMazurski'!E54</f>
        <v>-</v>
      </c>
      <c r="BA54" s="145">
        <f>'[4]WarmińskoMazurski'!D54</f>
        <v>0</v>
      </c>
      <c r="BB54" s="146">
        <f>'[4]Wielkopolski'!C54</f>
        <v>0</v>
      </c>
      <c r="BC54" s="106" t="str">
        <f>'[4]Wielkopolski'!E54</f>
        <v>-</v>
      </c>
      <c r="BD54" s="145">
        <f>'[4]Wielkopolski'!D54</f>
        <v>0</v>
      </c>
      <c r="BE54" s="146">
        <f>'[4]Zachodniopomorski'!C54</f>
        <v>0</v>
      </c>
      <c r="BF54" s="106" t="str">
        <f>'[4]Zachodniopomorski'!E54</f>
        <v>-</v>
      </c>
      <c r="BG54" s="145">
        <f>'[4]Zachodniopomorski'!D54</f>
        <v>0</v>
      </c>
    </row>
    <row r="55" spans="1:59" ht="20.25">
      <c r="A55" s="156" t="s">
        <v>120</v>
      </c>
      <c r="B55" s="175" t="s">
        <v>122</v>
      </c>
      <c r="C55" s="144">
        <f>'[4]NFZ'!C78</f>
        <v>18785</v>
      </c>
      <c r="D55" s="107">
        <f>'[4]NFZ'!E78</f>
        <v>63373</v>
      </c>
      <c r="E55" s="143">
        <f>'[4]NFZ'!D78</f>
        <v>82158</v>
      </c>
      <c r="F55" s="144">
        <f>'[4]CENTRALA'!C55</f>
        <v>272</v>
      </c>
      <c r="G55" s="107">
        <f>'[4]CENTRALA'!E55</f>
        <v>67074</v>
      </c>
      <c r="H55" s="143">
        <f>'[4]CENTRALA'!D55</f>
        <v>67346</v>
      </c>
      <c r="I55" s="144">
        <f>'[4]Razem OW'!C55</f>
        <v>18513</v>
      </c>
      <c r="J55" s="107">
        <f>'[4]Razem OW'!E55</f>
        <v>-3701</v>
      </c>
      <c r="K55" s="143">
        <f>'[4]Razem OW'!D55</f>
        <v>14812</v>
      </c>
      <c r="L55" s="144">
        <f>'[4]Dolnośląski'!C55</f>
        <v>100</v>
      </c>
      <c r="M55" s="106" t="str">
        <f>'[4]Dolnośląski'!E55</f>
        <v>-</v>
      </c>
      <c r="N55" s="145">
        <f>'[4]Dolnośląski'!D55</f>
        <v>100</v>
      </c>
      <c r="O55" s="146">
        <f>'[4]KujawskoPomorski'!C55</f>
        <v>275</v>
      </c>
      <c r="P55" s="106">
        <f>'[4]KujawskoPomorski'!E55</f>
        <v>1525</v>
      </c>
      <c r="Q55" s="145">
        <f>'[4]KujawskoPomorski'!D55</f>
        <v>1800</v>
      </c>
      <c r="R55" s="146">
        <f>'[4]Lubelski'!C55</f>
        <v>744</v>
      </c>
      <c r="S55" s="106">
        <f>'[4]Lubelski'!E55</f>
        <v>-494</v>
      </c>
      <c r="T55" s="145">
        <f>'[4]Lubelski'!D55</f>
        <v>250</v>
      </c>
      <c r="U55" s="146">
        <f>'[4]Lubuski'!C55</f>
        <v>200</v>
      </c>
      <c r="V55" s="106">
        <f>'[4]Lubuski'!E55</f>
        <v>-170</v>
      </c>
      <c r="W55" s="145">
        <f>'[4]Lubuski'!D55</f>
        <v>30</v>
      </c>
      <c r="X55" s="146">
        <f>'[4]Łódzki'!C55</f>
        <v>800</v>
      </c>
      <c r="Y55" s="106">
        <f>'[4]Łódzki'!E55</f>
        <v>600</v>
      </c>
      <c r="Z55" s="145">
        <f>'[4]Łódzki'!D55</f>
        <v>1400</v>
      </c>
      <c r="AA55" s="146">
        <f>'[4]Małopolski'!C55</f>
        <v>1000</v>
      </c>
      <c r="AB55" s="106" t="str">
        <f>'[4]Małopolski'!E55</f>
        <v>-</v>
      </c>
      <c r="AC55" s="145">
        <f>'[4]Małopolski'!D55</f>
        <v>1000</v>
      </c>
      <c r="AD55" s="146">
        <f>'[4]Mazowiecki'!C55</f>
        <v>2000</v>
      </c>
      <c r="AE55" s="106" t="str">
        <f>'[4]Mazowiecki'!E55</f>
        <v>-</v>
      </c>
      <c r="AF55" s="145">
        <f>'[4]Mazowiecki'!D55</f>
        <v>2000</v>
      </c>
      <c r="AG55" s="146">
        <f>'[4]Opolski'!C55</f>
        <v>100</v>
      </c>
      <c r="AH55" s="106">
        <f>'[4]Opolski'!E55</f>
        <v>-91</v>
      </c>
      <c r="AI55" s="145">
        <f>'[4]Opolski'!D55</f>
        <v>9</v>
      </c>
      <c r="AJ55" s="146">
        <f>'[4]Podkarpacki'!C55</f>
        <v>250</v>
      </c>
      <c r="AK55" s="106" t="str">
        <f>'[4]Podkarpacki'!E55</f>
        <v>-</v>
      </c>
      <c r="AL55" s="145">
        <f>'[4]Podkarpacki'!D55</f>
        <v>250</v>
      </c>
      <c r="AM55" s="146">
        <f>'[4]Podlaski'!C55</f>
        <v>450</v>
      </c>
      <c r="AN55" s="106">
        <f>'[4]Podlaski'!E55</f>
        <v>160</v>
      </c>
      <c r="AO55" s="145">
        <f>'[4]Podlaski'!D55</f>
        <v>610</v>
      </c>
      <c r="AP55" s="146">
        <f>'[4]Pomorski'!C55</f>
        <v>1600</v>
      </c>
      <c r="AQ55" s="106">
        <f>'[4]Pomorski'!E55</f>
        <v>-1404</v>
      </c>
      <c r="AR55" s="145">
        <f>'[4]Pomorski'!D55</f>
        <v>196</v>
      </c>
      <c r="AS55" s="146">
        <f>'[4]Śląski'!C55</f>
        <v>6229</v>
      </c>
      <c r="AT55" s="106" t="str">
        <f>'[4]Śląski'!E55</f>
        <v>-</v>
      </c>
      <c r="AU55" s="145">
        <f>'[4]Śląski'!D55</f>
        <v>6229</v>
      </c>
      <c r="AV55" s="146">
        <f>'[4]Świętokrzyski'!C55</f>
        <v>500</v>
      </c>
      <c r="AW55" s="106">
        <f>'[4]Świętokrzyski'!E55</f>
        <v>-480</v>
      </c>
      <c r="AX55" s="145">
        <f>'[4]Świętokrzyski'!D55</f>
        <v>20</v>
      </c>
      <c r="AY55" s="146">
        <f>'[4]WarmińskoMazurski'!C55</f>
        <v>600</v>
      </c>
      <c r="AZ55" s="106" t="str">
        <f>'[4]WarmińskoMazurski'!E55</f>
        <v>-</v>
      </c>
      <c r="BA55" s="145">
        <f>'[4]WarmińskoMazurski'!D55</f>
        <v>600</v>
      </c>
      <c r="BB55" s="146">
        <f>'[4]Wielkopolski'!C55</f>
        <v>3445</v>
      </c>
      <c r="BC55" s="106">
        <f>'[4]Wielkopolski'!E55</f>
        <v>-3145</v>
      </c>
      <c r="BD55" s="145">
        <f>'[4]Wielkopolski'!D55</f>
        <v>300</v>
      </c>
      <c r="BE55" s="146">
        <f>'[4]Zachodniopomorski'!C55</f>
        <v>220</v>
      </c>
      <c r="BF55" s="106">
        <f>'[4]Zachodniopomorski'!E55</f>
        <v>-202</v>
      </c>
      <c r="BG55" s="145">
        <f>'[4]Zachodniopomorski'!D55</f>
        <v>18</v>
      </c>
    </row>
    <row r="56" spans="1:59" ht="23.25" thickBot="1">
      <c r="A56" s="192" t="s">
        <v>127</v>
      </c>
      <c r="B56" s="193" t="s">
        <v>155</v>
      </c>
      <c r="C56" s="194">
        <f>'[4]NFZ'!C82</f>
        <v>118521</v>
      </c>
      <c r="D56" s="195">
        <f>'[4]NFZ'!E82</f>
        <v>35386</v>
      </c>
      <c r="E56" s="196">
        <f>'[4]NFZ'!D82</f>
        <v>153907</v>
      </c>
      <c r="F56" s="194">
        <f>'[4]CENTRALA'!C56</f>
        <v>38126</v>
      </c>
      <c r="G56" s="195">
        <f>'[4]CENTRALA'!E56</f>
        <v>-22626</v>
      </c>
      <c r="H56" s="196">
        <f>'[4]CENTRALA'!D56</f>
        <v>15500</v>
      </c>
      <c r="I56" s="194">
        <f>'[4]Razem OW'!C56</f>
        <v>40054</v>
      </c>
      <c r="J56" s="195">
        <f>'[4]Razem OW'!E56</f>
        <v>98353</v>
      </c>
      <c r="K56" s="196">
        <f>'[4]Razem OW'!D56</f>
        <v>138407</v>
      </c>
      <c r="L56" s="194">
        <f>'[4]Dolnośląski'!C56</f>
        <v>1244</v>
      </c>
      <c r="M56" s="195">
        <f>'[4]Dolnośląski'!E56</f>
        <v>-965</v>
      </c>
      <c r="N56" s="196">
        <f>'[4]Dolnośląski'!D56</f>
        <v>279</v>
      </c>
      <c r="O56" s="194">
        <f>'[4]KujawskoPomorski'!C56</f>
        <v>886</v>
      </c>
      <c r="P56" s="195">
        <f>'[4]KujawskoPomorski'!E56</f>
        <v>32392</v>
      </c>
      <c r="Q56" s="196">
        <f>'[4]KujawskoPomorski'!D56</f>
        <v>33278</v>
      </c>
      <c r="R56" s="194">
        <f>'[4]Lubelski'!C56</f>
        <v>10800</v>
      </c>
      <c r="S56" s="195">
        <f>'[4]Lubelski'!E56</f>
        <v>-603</v>
      </c>
      <c r="T56" s="196">
        <f>'[4]Lubelski'!D56</f>
        <v>10197</v>
      </c>
      <c r="U56" s="194">
        <f>'[4]Lubuski'!C56</f>
        <v>1</v>
      </c>
      <c r="V56" s="195" t="str">
        <f>'[4]Lubuski'!E56</f>
        <v>-</v>
      </c>
      <c r="W56" s="196">
        <f>'[4]Lubuski'!D56</f>
        <v>1</v>
      </c>
      <c r="X56" s="194">
        <f>'[4]Łódzki'!C56</f>
        <v>274</v>
      </c>
      <c r="Y56" s="195">
        <f>'[4]Łódzki'!E56</f>
        <v>3317</v>
      </c>
      <c r="Z56" s="196">
        <f>'[4]Łódzki'!D56</f>
        <v>3591</v>
      </c>
      <c r="AA56" s="194">
        <f>'[4]Małopolski'!C56</f>
        <v>177</v>
      </c>
      <c r="AB56" s="195">
        <f>'[4]Małopolski'!E56</f>
        <v>6463</v>
      </c>
      <c r="AC56" s="196">
        <f>'[4]Małopolski'!D56</f>
        <v>6640</v>
      </c>
      <c r="AD56" s="194">
        <f>'[4]Mazowiecki'!C56</f>
        <v>10500</v>
      </c>
      <c r="AE56" s="195">
        <f>'[4]Mazowiecki'!E56</f>
        <v>33833</v>
      </c>
      <c r="AF56" s="196">
        <f>'[4]Mazowiecki'!D56</f>
        <v>44333</v>
      </c>
      <c r="AG56" s="194">
        <f>'[4]Opolski'!C56</f>
        <v>1</v>
      </c>
      <c r="AH56" s="195" t="str">
        <f>'[4]Opolski'!E56</f>
        <v>-</v>
      </c>
      <c r="AI56" s="196">
        <f>'[4]Opolski'!D56</f>
        <v>1</v>
      </c>
      <c r="AJ56" s="194">
        <f>'[4]Podkarpacki'!C56</f>
        <v>1888</v>
      </c>
      <c r="AK56" s="195">
        <f>'[4]Podkarpacki'!E56</f>
        <v>412</v>
      </c>
      <c r="AL56" s="196">
        <f>'[4]Podkarpacki'!D56</f>
        <v>2300</v>
      </c>
      <c r="AM56" s="194">
        <f>'[4]Podlaski'!C56</f>
        <v>48</v>
      </c>
      <c r="AN56" s="195">
        <f>'[4]Podlaski'!E56</f>
        <v>7</v>
      </c>
      <c r="AO56" s="196">
        <f>'[4]Podlaski'!D56</f>
        <v>55</v>
      </c>
      <c r="AP56" s="194">
        <f>'[4]Pomorski'!C56</f>
        <v>38</v>
      </c>
      <c r="AQ56" s="195">
        <f>'[4]Pomorski'!E56</f>
        <v>-28</v>
      </c>
      <c r="AR56" s="196">
        <f>'[4]Pomorski'!D56</f>
        <v>10</v>
      </c>
      <c r="AS56" s="194">
        <f>'[4]Śląski'!C56</f>
        <v>2989</v>
      </c>
      <c r="AT56" s="195" t="str">
        <f>'[4]Śląski'!E56</f>
        <v>-</v>
      </c>
      <c r="AU56" s="196">
        <f>'[4]Śląski'!D56</f>
        <v>2989</v>
      </c>
      <c r="AV56" s="194">
        <f>'[4]Świętokrzyski'!C56</f>
        <v>5928</v>
      </c>
      <c r="AW56" s="195">
        <f>'[4]Świętokrzyski'!E56</f>
        <v>-5228</v>
      </c>
      <c r="AX56" s="196">
        <f>'[4]Świętokrzyski'!D56</f>
        <v>700</v>
      </c>
      <c r="AY56" s="194">
        <f>'[4]WarmińskoMazurski'!C56</f>
        <v>3</v>
      </c>
      <c r="AZ56" s="195">
        <f>'[4]WarmińskoMazurski'!E56</f>
        <v>7934</v>
      </c>
      <c r="BA56" s="196">
        <f>'[4]WarmińskoMazurski'!D56</f>
        <v>7937</v>
      </c>
      <c r="BB56" s="194">
        <f>'[4]Wielkopolski'!C56</f>
        <v>5259</v>
      </c>
      <c r="BC56" s="195">
        <f>'[4]Wielkopolski'!E56</f>
        <v>20527</v>
      </c>
      <c r="BD56" s="196">
        <f>'[4]Wielkopolski'!D56</f>
        <v>25786</v>
      </c>
      <c r="BE56" s="194">
        <f>'[4]Zachodniopomorski'!C56</f>
        <v>18</v>
      </c>
      <c r="BF56" s="195">
        <f>'[4]Zachodniopomorski'!E56</f>
        <v>292</v>
      </c>
      <c r="BG56" s="196">
        <f>'[4]Zachodniopomorski'!D56</f>
        <v>310</v>
      </c>
    </row>
    <row r="57" spans="7:58" ht="24" thickTop="1"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</row>
  </sheetData>
  <sheetProtection/>
  <mergeCells count="22">
    <mergeCell ref="A1:B1"/>
    <mergeCell ref="A4:A5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Y4:BA4"/>
    <mergeCell ref="BB4:BD4"/>
    <mergeCell ref="BE4:BG4"/>
    <mergeCell ref="AJ4:AL4"/>
    <mergeCell ref="AM4:AO4"/>
    <mergeCell ref="AP4:AR4"/>
    <mergeCell ref="AS4:AU4"/>
    <mergeCell ref="AV4:AX4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tabSelected="1" zoomScale="55" zoomScaleNormal="55" zoomScaleSheetLayoutView="55" zoomScalePageLayoutView="0" workbookViewId="0" topLeftCell="A1">
      <pane xSplit="2" ySplit="7" topLeftCell="C4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25390625" style="2" bestFit="1" customWidth="1"/>
    <col min="2" max="2" width="117.25390625" style="2" customWidth="1"/>
    <col min="3" max="3" width="24.25390625" style="2" customWidth="1"/>
    <col min="4" max="4" width="24.25390625" style="2" bestFit="1" customWidth="1"/>
    <col min="5" max="5" width="22.625" style="2" customWidth="1"/>
    <col min="6" max="6" width="20.1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88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8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55158066</v>
      </c>
      <c r="D7" s="16">
        <f>D8+D9+D10+D12+D13+D14+D15+D16+D17+D18+D19+D20+D21+D22+D24+D25+D26+D27</f>
        <v>55158066</v>
      </c>
      <c r="E7" s="13" t="str">
        <f>IF(C7=D7,"-",D7-C7)</f>
        <v>-</v>
      </c>
      <c r="F7" s="91">
        <f>IF(C7=0,"-",D7/C7)</f>
        <v>1</v>
      </c>
      <c r="H7" s="197"/>
    </row>
    <row r="8" spans="1:8" ht="31.5" customHeight="1">
      <c r="A8" s="40" t="s">
        <v>1</v>
      </c>
      <c r="B8" s="102" t="s">
        <v>167</v>
      </c>
      <c r="C8" s="36">
        <f>Dolnośląski!C8+KujawskoPomorski!C8+Lubelski!C8+Lubuski!C8+Łódzki!C8+Małopolski!C8+Mazowiecki!C8+Opolski!C8+Podkarpacki!C8+Podlaski!C8+Pomorski!C8+Śląski!C8+Świętokrzyski!C8+WarmińskoMazurski!C8+Wielkopolski!C8+Zachodniopomorski!C8</f>
        <v>7317054</v>
      </c>
      <c r="D8" s="36">
        <f>Dolnośląski!D8+KujawskoPomorski!D8+Lubelski!D8+Lubuski!D8+Łódzki!D8+Małopolski!D8+Mazowiecki!D8+Opolski!D8+Podkarpacki!D8+Podlaski!D8+Pomorski!D8+Śląski!D8+Świętokrzyski!D8+WarmińskoMazurski!D8+Wielkopolski!D8+Zachodniopomorski!D8</f>
        <v>7317054</v>
      </c>
      <c r="E8" s="89" t="str">
        <f aca="true" t="shared" si="0" ref="E8:E46">IF(C8=D8,"-",D8-C8)</f>
        <v>-</v>
      </c>
      <c r="F8" s="90">
        <f aca="true" t="shared" si="1" ref="F8:F46">IF(C8=0,"-",D8/C8)</f>
        <v>1</v>
      </c>
      <c r="H8" s="197"/>
    </row>
    <row r="9" spans="1:8" ht="31.5" customHeight="1">
      <c r="A9" s="40" t="s">
        <v>2</v>
      </c>
      <c r="B9" s="102" t="s">
        <v>168</v>
      </c>
      <c r="C9" s="36">
        <f>Dolnośląski!C9+KujawskoPomorski!C9+Lubelski!C9+Lubuski!C9+Łódzki!C9+Małopolski!C9+Mazowiecki!C9+Opolski!C9+Podkarpacki!C9+Podlaski!C9+Pomorski!C9+Śląski!C9+Świętokrzyski!C9+WarmińskoMazurski!C9+Wielkopolski!C9+Zachodniopomorski!C9</f>
        <v>4351264</v>
      </c>
      <c r="D9" s="36">
        <f>Dolnośląski!D9+KujawskoPomorski!D9+Lubelski!D9+Lubuski!D9+Łódzki!D9+Małopolski!D9+Mazowiecki!D9+Opolski!D9+Podkarpacki!D9+Podlaski!D9+Pomorski!D9+Śląski!D9+Świętokrzyski!D9+WarmińskoMazurski!D9+Wielkopolski!D9+Zachodniopomorski!D9</f>
        <v>4351264</v>
      </c>
      <c r="E9" s="89" t="str">
        <f t="shared" si="0"/>
        <v>-</v>
      </c>
      <c r="F9" s="90">
        <f t="shared" si="1"/>
        <v>1</v>
      </c>
      <c r="H9" s="197"/>
    </row>
    <row r="10" spans="1:8" ht="31.5" customHeight="1">
      <c r="A10" s="40" t="s">
        <v>3</v>
      </c>
      <c r="B10" s="102" t="s">
        <v>158</v>
      </c>
      <c r="C10" s="36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25973944</v>
      </c>
      <c r="D10" s="36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25973944</v>
      </c>
      <c r="E10" s="89" t="str">
        <f t="shared" si="0"/>
        <v>-</v>
      </c>
      <c r="F10" s="90">
        <f t="shared" si="1"/>
        <v>1</v>
      </c>
      <c r="H10" s="197"/>
    </row>
    <row r="11" spans="1:8" ht="31.5" customHeight="1">
      <c r="A11" s="103" t="s">
        <v>64</v>
      </c>
      <c r="B11" s="45" t="s">
        <v>65</v>
      </c>
      <c r="C11" s="36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1246532</v>
      </c>
      <c r="D11" s="36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1246532</v>
      </c>
      <c r="E11" s="89" t="str">
        <f>IF(C11=D11,"-",D11-C11)</f>
        <v>-</v>
      </c>
      <c r="F11" s="90">
        <f>IF(C11=0,"-",D11/C11)</f>
        <v>1</v>
      </c>
      <c r="H11" s="197"/>
    </row>
    <row r="12" spans="1:8" ht="31.5" customHeight="1">
      <c r="A12" s="40" t="s">
        <v>4</v>
      </c>
      <c r="B12" s="102" t="s">
        <v>174</v>
      </c>
      <c r="C12" s="36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1981802</v>
      </c>
      <c r="D12" s="36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1981802</v>
      </c>
      <c r="E12" s="89" t="str">
        <f t="shared" si="0"/>
        <v>-</v>
      </c>
      <c r="F12" s="90">
        <f t="shared" si="1"/>
        <v>1</v>
      </c>
      <c r="H12" s="197"/>
    </row>
    <row r="13" spans="1:8" ht="31.5" customHeight="1">
      <c r="A13" s="40" t="s">
        <v>5</v>
      </c>
      <c r="B13" s="102" t="s">
        <v>169</v>
      </c>
      <c r="C13" s="36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1778509</v>
      </c>
      <c r="D13" s="36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1778509</v>
      </c>
      <c r="E13" s="89" t="str">
        <f t="shared" si="0"/>
        <v>-</v>
      </c>
      <c r="F13" s="90">
        <f t="shared" si="1"/>
        <v>1</v>
      </c>
      <c r="H13" s="197"/>
    </row>
    <row r="14" spans="1:8" ht="31.5" customHeight="1">
      <c r="A14" s="40" t="s">
        <v>6</v>
      </c>
      <c r="B14" s="102" t="s">
        <v>178</v>
      </c>
      <c r="C14" s="36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799607</v>
      </c>
      <c r="D14" s="36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799607</v>
      </c>
      <c r="E14" s="89" t="str">
        <f t="shared" si="0"/>
        <v>-</v>
      </c>
      <c r="F14" s="90">
        <f t="shared" si="1"/>
        <v>1</v>
      </c>
      <c r="H14" s="197"/>
    </row>
    <row r="15" spans="1:8" ht="31.5" customHeight="1">
      <c r="A15" s="40" t="s">
        <v>7</v>
      </c>
      <c r="B15" s="102" t="s">
        <v>177</v>
      </c>
      <c r="C15" s="36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274697</v>
      </c>
      <c r="D15" s="36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274697</v>
      </c>
      <c r="E15" s="89" t="str">
        <f>IF(C15=D15,"-",D15-C15)</f>
        <v>-</v>
      </c>
      <c r="F15" s="90">
        <f>IF(C15=0,"-",D15/C15)</f>
        <v>1</v>
      </c>
      <c r="H15" s="197"/>
    </row>
    <row r="16" spans="1:8" ht="31.5" customHeight="1">
      <c r="A16" s="40" t="s">
        <v>8</v>
      </c>
      <c r="B16" s="102" t="s">
        <v>170</v>
      </c>
      <c r="C16" s="36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1926475</v>
      </c>
      <c r="D16" s="36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1926475</v>
      </c>
      <c r="E16" s="89" t="str">
        <f t="shared" si="0"/>
        <v>-</v>
      </c>
      <c r="F16" s="90">
        <f t="shared" si="1"/>
        <v>1</v>
      </c>
      <c r="H16" s="197"/>
    </row>
    <row r="17" spans="1:8" ht="31.5" customHeight="1">
      <c r="A17" s="40" t="s">
        <v>9</v>
      </c>
      <c r="B17" s="102" t="s">
        <v>171</v>
      </c>
      <c r="C17" s="36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675845</v>
      </c>
      <c r="D17" s="36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675845</v>
      </c>
      <c r="E17" s="89" t="str">
        <f t="shared" si="0"/>
        <v>-</v>
      </c>
      <c r="F17" s="90">
        <f t="shared" si="1"/>
        <v>1</v>
      </c>
      <c r="H17" s="197"/>
    </row>
    <row r="18" spans="1:8" ht="31.5" customHeight="1">
      <c r="A18" s="40" t="s">
        <v>10</v>
      </c>
      <c r="B18" s="102" t="s">
        <v>179</v>
      </c>
      <c r="C18" s="36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36798</v>
      </c>
      <c r="D18" s="36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36798</v>
      </c>
      <c r="E18" s="89" t="str">
        <f t="shared" si="0"/>
        <v>-</v>
      </c>
      <c r="F18" s="90">
        <f t="shared" si="1"/>
        <v>1</v>
      </c>
      <c r="H18" s="197"/>
    </row>
    <row r="19" spans="1:8" ht="46.5" customHeight="1">
      <c r="A19" s="40" t="s">
        <v>11</v>
      </c>
      <c r="B19" s="102" t="s">
        <v>172</v>
      </c>
      <c r="C19" s="36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132389</v>
      </c>
      <c r="D19" s="36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132389</v>
      </c>
      <c r="E19" s="89" t="str">
        <f t="shared" si="0"/>
        <v>-</v>
      </c>
      <c r="F19" s="90">
        <f t="shared" si="1"/>
        <v>1</v>
      </c>
      <c r="H19" s="197"/>
    </row>
    <row r="20" spans="1:8" ht="31.5" customHeight="1">
      <c r="A20" s="40" t="s">
        <v>12</v>
      </c>
      <c r="B20" s="102" t="s">
        <v>173</v>
      </c>
      <c r="C20" s="36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1318470</v>
      </c>
      <c r="D20" s="36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1318470</v>
      </c>
      <c r="E20" s="89" t="str">
        <f t="shared" si="0"/>
        <v>-</v>
      </c>
      <c r="F20" s="90">
        <f t="shared" si="1"/>
        <v>1</v>
      </c>
      <c r="H20" s="197"/>
    </row>
    <row r="21" spans="1:8" ht="31.5" customHeight="1">
      <c r="A21" s="40" t="s">
        <v>14</v>
      </c>
      <c r="B21" s="46" t="s">
        <v>13</v>
      </c>
      <c r="C21" s="36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590282</v>
      </c>
      <c r="D21" s="36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590282</v>
      </c>
      <c r="E21" s="89" t="str">
        <f t="shared" si="0"/>
        <v>-</v>
      </c>
      <c r="F21" s="90">
        <f t="shared" si="1"/>
        <v>1</v>
      </c>
      <c r="H21" s="197"/>
    </row>
    <row r="22" spans="1:8" ht="31.5" customHeight="1">
      <c r="A22" s="41" t="s">
        <v>15</v>
      </c>
      <c r="B22" s="102" t="s">
        <v>175</v>
      </c>
      <c r="C22" s="36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7897870</v>
      </c>
      <c r="D22" s="36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7897870</v>
      </c>
      <c r="E22" s="89" t="str">
        <f t="shared" si="0"/>
        <v>-</v>
      </c>
      <c r="F22" s="90">
        <f t="shared" si="1"/>
        <v>1</v>
      </c>
      <c r="H22" s="197"/>
    </row>
    <row r="23" spans="1:8" ht="31.5" customHeight="1">
      <c r="A23" s="39" t="s">
        <v>180</v>
      </c>
      <c r="B23" s="45" t="s">
        <v>66</v>
      </c>
      <c r="C23" s="36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25476</v>
      </c>
      <c r="D23" s="36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25476</v>
      </c>
      <c r="E23" s="89" t="str">
        <f t="shared" si="0"/>
        <v>-</v>
      </c>
      <c r="F23" s="90">
        <f t="shared" si="1"/>
        <v>1</v>
      </c>
      <c r="H23" s="197"/>
    </row>
    <row r="24" spans="1:8" ht="33" customHeight="1">
      <c r="A24" s="42" t="s">
        <v>16</v>
      </c>
      <c r="B24" s="47" t="s">
        <v>140</v>
      </c>
      <c r="C24" s="36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D24" s="36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0</v>
      </c>
      <c r="E24" s="89" t="str">
        <f>IF(C24=D24,"-",D24-C24)</f>
        <v>-</v>
      </c>
      <c r="F24" s="90" t="str">
        <f>IF(C24=0,"-",D24/C24)</f>
        <v>-</v>
      </c>
      <c r="H24" s="197"/>
    </row>
    <row r="25" spans="1:8" ht="33" customHeight="1">
      <c r="A25" s="42" t="s">
        <v>137</v>
      </c>
      <c r="B25" s="48" t="s">
        <v>60</v>
      </c>
      <c r="C25" s="36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D25" s="36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0</v>
      </c>
      <c r="E25" s="89" t="str">
        <f>IF(C25=D25,"-",D25-C25)</f>
        <v>-</v>
      </c>
      <c r="F25" s="90" t="str">
        <f>IF(C25=0,"-",D25/C25)</f>
        <v>-</v>
      </c>
      <c r="H25" s="197"/>
    </row>
    <row r="26" spans="1:8" ht="33" customHeight="1">
      <c r="A26" s="42" t="s">
        <v>138</v>
      </c>
      <c r="B26" s="48" t="s">
        <v>141</v>
      </c>
      <c r="C26" s="36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0</v>
      </c>
      <c r="D26" s="36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0</v>
      </c>
      <c r="E26" s="89" t="str">
        <f>IF(C26=D26,"-",D26-C26)</f>
        <v>-</v>
      </c>
      <c r="F26" s="90" t="str">
        <f>IF(C26=0,"-",D26/C26)</f>
        <v>-</v>
      </c>
      <c r="H26" s="197"/>
    </row>
    <row r="27" spans="1:8" ht="33" customHeight="1">
      <c r="A27" s="42" t="s">
        <v>139</v>
      </c>
      <c r="B27" s="48" t="s">
        <v>142</v>
      </c>
      <c r="C27" s="36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103060</v>
      </c>
      <c r="D27" s="36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103060</v>
      </c>
      <c r="E27" s="89" t="str">
        <f>IF(C27=D27,"-",D27-C27)</f>
        <v>-</v>
      </c>
      <c r="F27" s="90">
        <f>IF(C27=0,"-",D27/C27)</f>
        <v>1</v>
      </c>
      <c r="H27" s="197"/>
    </row>
    <row r="28" spans="1:8" s="5" customFormat="1" ht="31.5" customHeight="1">
      <c r="A28" s="43" t="s">
        <v>68</v>
      </c>
      <c r="B28" s="49" t="s">
        <v>69</v>
      </c>
      <c r="C28" s="35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35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89" t="str">
        <f t="shared" si="0"/>
        <v>-</v>
      </c>
      <c r="F28" s="90" t="str">
        <f t="shared" si="1"/>
        <v>-</v>
      </c>
      <c r="H28" s="197"/>
    </row>
    <row r="29" spans="1:8" s="5" customFormat="1" ht="31.5" customHeight="1">
      <c r="A29" s="43" t="s">
        <v>67</v>
      </c>
      <c r="B29" s="49" t="s">
        <v>70</v>
      </c>
      <c r="C29" s="35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1730500</v>
      </c>
      <c r="D29" s="35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1730500</v>
      </c>
      <c r="E29" s="89" t="str">
        <f t="shared" si="0"/>
        <v>-</v>
      </c>
      <c r="F29" s="90">
        <f t="shared" si="1"/>
        <v>1</v>
      </c>
      <c r="H29" s="197"/>
    </row>
    <row r="30" spans="1:8" s="3" customFormat="1" ht="30" customHeight="1">
      <c r="A30" s="37" t="s">
        <v>17</v>
      </c>
      <c r="B30" s="57" t="s">
        <v>18</v>
      </c>
      <c r="C30" s="34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448547</v>
      </c>
      <c r="D30" s="34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448547</v>
      </c>
      <c r="E30" s="13" t="str">
        <f t="shared" si="0"/>
        <v>-</v>
      </c>
      <c r="F30" s="91">
        <f t="shared" si="1"/>
        <v>1</v>
      </c>
      <c r="H30" s="197"/>
    </row>
    <row r="31" spans="1:8" ht="28.5" customHeight="1">
      <c r="A31" s="42" t="s">
        <v>19</v>
      </c>
      <c r="B31" s="51" t="s">
        <v>20</v>
      </c>
      <c r="C31" s="35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17838</v>
      </c>
      <c r="D31" s="35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17838</v>
      </c>
      <c r="E31" s="89" t="str">
        <f t="shared" si="0"/>
        <v>-</v>
      </c>
      <c r="F31" s="90">
        <f t="shared" si="1"/>
        <v>1</v>
      </c>
      <c r="H31" s="197"/>
    </row>
    <row r="32" spans="1:8" ht="28.5" customHeight="1">
      <c r="A32" s="42" t="s">
        <v>21</v>
      </c>
      <c r="B32" s="51" t="s">
        <v>22</v>
      </c>
      <c r="C32" s="35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52999</v>
      </c>
      <c r="D32" s="35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52999</v>
      </c>
      <c r="E32" s="89" t="str">
        <f t="shared" si="0"/>
        <v>-</v>
      </c>
      <c r="F32" s="90">
        <f t="shared" si="1"/>
        <v>1</v>
      </c>
      <c r="H32" s="197"/>
    </row>
    <row r="33" spans="1:8" ht="28.5" customHeight="1">
      <c r="A33" s="42" t="s">
        <v>23</v>
      </c>
      <c r="B33" s="52" t="s">
        <v>37</v>
      </c>
      <c r="C33" s="35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3439</v>
      </c>
      <c r="D33" s="35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3439</v>
      </c>
      <c r="E33" s="89" t="str">
        <f t="shared" si="0"/>
        <v>-</v>
      </c>
      <c r="F33" s="90">
        <f t="shared" si="1"/>
        <v>1</v>
      </c>
      <c r="H33" s="197"/>
    </row>
    <row r="34" spans="1:8" ht="28.5" customHeight="1">
      <c r="A34" s="53" t="s">
        <v>45</v>
      </c>
      <c r="B34" s="54" t="s">
        <v>38</v>
      </c>
      <c r="C34" s="35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441</v>
      </c>
      <c r="D34" s="35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441</v>
      </c>
      <c r="E34" s="89" t="str">
        <f t="shared" si="0"/>
        <v>-</v>
      </c>
      <c r="F34" s="90">
        <f t="shared" si="1"/>
        <v>1</v>
      </c>
      <c r="H34" s="197"/>
    </row>
    <row r="35" spans="1:8" ht="28.5" customHeight="1">
      <c r="A35" s="53" t="s">
        <v>46</v>
      </c>
      <c r="B35" s="55" t="s">
        <v>39</v>
      </c>
      <c r="C35" s="35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419</v>
      </c>
      <c r="D35" s="35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419</v>
      </c>
      <c r="E35" s="89" t="str">
        <f t="shared" si="0"/>
        <v>-</v>
      </c>
      <c r="F35" s="90">
        <f t="shared" si="1"/>
        <v>1</v>
      </c>
      <c r="H35" s="197"/>
    </row>
    <row r="36" spans="1:8" ht="28.5" customHeight="1">
      <c r="A36" s="53" t="s">
        <v>47</v>
      </c>
      <c r="B36" s="54" t="s">
        <v>40</v>
      </c>
      <c r="C36" s="35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101</v>
      </c>
      <c r="D36" s="35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101</v>
      </c>
      <c r="E36" s="89" t="str">
        <f t="shared" si="0"/>
        <v>-</v>
      </c>
      <c r="F36" s="90">
        <f t="shared" si="1"/>
        <v>1</v>
      </c>
      <c r="H36" s="197"/>
    </row>
    <row r="37" spans="1:8" ht="28.5" customHeight="1">
      <c r="A37" s="53" t="s">
        <v>48</v>
      </c>
      <c r="B37" s="54" t="s">
        <v>41</v>
      </c>
      <c r="C37" s="35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20</v>
      </c>
      <c r="D37" s="35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20</v>
      </c>
      <c r="E37" s="89" t="str">
        <f t="shared" si="0"/>
        <v>-</v>
      </c>
      <c r="F37" s="90">
        <f t="shared" si="1"/>
        <v>1</v>
      </c>
      <c r="H37" s="197"/>
    </row>
    <row r="38" spans="1:8" ht="28.5" customHeight="1">
      <c r="A38" s="53" t="s">
        <v>49</v>
      </c>
      <c r="B38" s="54" t="s">
        <v>42</v>
      </c>
      <c r="C38" s="35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  <c r="D38" s="35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0</v>
      </c>
      <c r="E38" s="89" t="str">
        <f t="shared" si="0"/>
        <v>-</v>
      </c>
      <c r="F38" s="90" t="str">
        <f t="shared" si="1"/>
        <v>-</v>
      </c>
      <c r="H38" s="197"/>
    </row>
    <row r="39" spans="1:8" ht="28.5" customHeight="1">
      <c r="A39" s="53" t="s">
        <v>50</v>
      </c>
      <c r="B39" s="54" t="s">
        <v>43</v>
      </c>
      <c r="C39" s="3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2672</v>
      </c>
      <c r="D39" s="3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2672</v>
      </c>
      <c r="E39" s="89" t="str">
        <f t="shared" si="0"/>
        <v>-</v>
      </c>
      <c r="F39" s="90">
        <f t="shared" si="1"/>
        <v>1</v>
      </c>
      <c r="H39" s="197"/>
    </row>
    <row r="40" spans="1:8" ht="28.5" customHeight="1">
      <c r="A40" s="53" t="s">
        <v>51</v>
      </c>
      <c r="B40" s="54" t="s">
        <v>44</v>
      </c>
      <c r="C40" s="35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205</v>
      </c>
      <c r="D40" s="35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205</v>
      </c>
      <c r="E40" s="89" t="str">
        <f t="shared" si="0"/>
        <v>-</v>
      </c>
      <c r="F40" s="90">
        <f t="shared" si="1"/>
        <v>1</v>
      </c>
      <c r="H40" s="197"/>
    </row>
    <row r="41" spans="1:8" ht="28.5" customHeight="1">
      <c r="A41" s="42" t="s">
        <v>24</v>
      </c>
      <c r="B41" s="51" t="s">
        <v>25</v>
      </c>
      <c r="C41" s="35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262274</v>
      </c>
      <c r="D41" s="35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262274</v>
      </c>
      <c r="E41" s="89" t="str">
        <f t="shared" si="0"/>
        <v>-</v>
      </c>
      <c r="F41" s="90">
        <f t="shared" si="1"/>
        <v>1</v>
      </c>
      <c r="H41" s="197"/>
    </row>
    <row r="42" spans="1:8" ht="28.5" customHeight="1">
      <c r="A42" s="42" t="s">
        <v>26</v>
      </c>
      <c r="B42" s="52" t="s">
        <v>61</v>
      </c>
      <c r="C42" s="3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52918</v>
      </c>
      <c r="D42" s="3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52918</v>
      </c>
      <c r="E42" s="89" t="str">
        <f t="shared" si="0"/>
        <v>-</v>
      </c>
      <c r="F42" s="90">
        <f t="shared" si="1"/>
        <v>1</v>
      </c>
      <c r="H42" s="197"/>
    </row>
    <row r="43" spans="1:8" ht="28.5" customHeight="1">
      <c r="A43" s="53" t="s">
        <v>56</v>
      </c>
      <c r="B43" s="54" t="s">
        <v>52</v>
      </c>
      <c r="C43" s="3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39647</v>
      </c>
      <c r="D43" s="3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39647</v>
      </c>
      <c r="E43" s="89" t="str">
        <f t="shared" si="0"/>
        <v>-</v>
      </c>
      <c r="F43" s="90">
        <f t="shared" si="1"/>
        <v>1</v>
      </c>
      <c r="H43" s="197"/>
    </row>
    <row r="44" spans="1:8" ht="28.5" customHeight="1">
      <c r="A44" s="53" t="s">
        <v>57</v>
      </c>
      <c r="B44" s="54" t="s">
        <v>53</v>
      </c>
      <c r="C44" s="3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6426</v>
      </c>
      <c r="D44" s="35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6426</v>
      </c>
      <c r="E44" s="89" t="str">
        <f t="shared" si="0"/>
        <v>-</v>
      </c>
      <c r="F44" s="90">
        <f t="shared" si="1"/>
        <v>1</v>
      </c>
      <c r="H44" s="197"/>
    </row>
    <row r="45" spans="1:8" ht="28.5" customHeight="1">
      <c r="A45" s="53" t="s">
        <v>58</v>
      </c>
      <c r="B45" s="54" t="s">
        <v>54</v>
      </c>
      <c r="C45" s="3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35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89" t="str">
        <f t="shared" si="0"/>
        <v>-</v>
      </c>
      <c r="F45" s="90" t="str">
        <f t="shared" si="1"/>
        <v>-</v>
      </c>
      <c r="H45" s="197"/>
    </row>
    <row r="46" spans="1:8" ht="28.5" customHeight="1">
      <c r="A46" s="53" t="s">
        <v>59</v>
      </c>
      <c r="B46" s="54" t="s">
        <v>55</v>
      </c>
      <c r="C46" s="3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6845</v>
      </c>
      <c r="D46" s="35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6845</v>
      </c>
      <c r="E46" s="89" t="str">
        <f t="shared" si="0"/>
        <v>-</v>
      </c>
      <c r="F46" s="90">
        <f t="shared" si="1"/>
        <v>1</v>
      </c>
      <c r="H46" s="197"/>
    </row>
    <row r="47" spans="1:8" ht="28.5" customHeight="1">
      <c r="A47" s="42" t="s">
        <v>27</v>
      </c>
      <c r="B47" s="51" t="s">
        <v>28</v>
      </c>
      <c r="C47" s="3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35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89" t="str">
        <f aca="true" t="shared" si="2" ref="E47:E55">IF(C47=D47,"-",D47-C47)</f>
        <v>-</v>
      </c>
      <c r="F47" s="90" t="str">
        <f aca="true" t="shared" si="3" ref="F47:F55">IF(C47=0,"-",D47/C47)</f>
        <v>-</v>
      </c>
      <c r="H47" s="197"/>
    </row>
    <row r="48" spans="1:8" ht="48" customHeight="1">
      <c r="A48" s="42" t="s">
        <v>29</v>
      </c>
      <c r="B48" s="51" t="s">
        <v>116</v>
      </c>
      <c r="C48" s="36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51013</v>
      </c>
      <c r="D48" s="36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51013</v>
      </c>
      <c r="E48" s="89" t="str">
        <f t="shared" si="2"/>
        <v>-</v>
      </c>
      <c r="F48" s="92">
        <f t="shared" si="3"/>
        <v>1</v>
      </c>
      <c r="H48" s="197"/>
    </row>
    <row r="49" spans="1:8" ht="43.5" customHeight="1">
      <c r="A49" s="42" t="s">
        <v>30</v>
      </c>
      <c r="B49" s="51" t="s">
        <v>31</v>
      </c>
      <c r="C49" s="36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4034</v>
      </c>
      <c r="D49" s="36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4034</v>
      </c>
      <c r="E49" s="89" t="str">
        <f t="shared" si="2"/>
        <v>-</v>
      </c>
      <c r="F49" s="92">
        <f t="shared" si="3"/>
        <v>1</v>
      </c>
      <c r="H49" s="197"/>
    </row>
    <row r="50" spans="1:8" ht="35.25" customHeight="1">
      <c r="A50" s="42" t="s">
        <v>32</v>
      </c>
      <c r="B50" s="51" t="s">
        <v>33</v>
      </c>
      <c r="C50" s="35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4032</v>
      </c>
      <c r="D50" s="35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4032</v>
      </c>
      <c r="E50" s="89" t="str">
        <f t="shared" si="2"/>
        <v>-</v>
      </c>
      <c r="F50" s="90">
        <f t="shared" si="3"/>
        <v>1</v>
      </c>
      <c r="H50" s="197"/>
    </row>
    <row r="51" spans="1:8" s="3" customFormat="1" ht="30" customHeight="1">
      <c r="A51" s="44" t="s">
        <v>34</v>
      </c>
      <c r="B51" s="56" t="s">
        <v>176</v>
      </c>
      <c r="C51" s="38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255628</v>
      </c>
      <c r="D51" s="38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282505</v>
      </c>
      <c r="E51" s="13">
        <f t="shared" si="2"/>
        <v>26877</v>
      </c>
      <c r="F51" s="93">
        <f t="shared" si="3"/>
        <v>1.1051</v>
      </c>
      <c r="H51" s="197"/>
    </row>
    <row r="52" spans="1:8" ht="42" customHeight="1">
      <c r="A52" s="42" t="s">
        <v>119</v>
      </c>
      <c r="B52" s="51" t="s">
        <v>144</v>
      </c>
      <c r="C52" s="3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13264</v>
      </c>
      <c r="D52" s="35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7222</v>
      </c>
      <c r="E52" s="89">
        <f t="shared" si="2"/>
        <v>-6042</v>
      </c>
      <c r="F52" s="90">
        <f t="shared" si="3"/>
        <v>0.5445</v>
      </c>
      <c r="H52" s="197"/>
    </row>
    <row r="53" spans="1:8" ht="31.5" customHeight="1">
      <c r="A53" s="42" t="s">
        <v>35</v>
      </c>
      <c r="B53" s="51" t="s">
        <v>63</v>
      </c>
      <c r="C53" s="3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223851</v>
      </c>
      <c r="D53" s="35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257266</v>
      </c>
      <c r="E53" s="89">
        <f t="shared" si="2"/>
        <v>33415</v>
      </c>
      <c r="F53" s="90">
        <f t="shared" si="3"/>
        <v>1.1493</v>
      </c>
      <c r="H53" s="197"/>
    </row>
    <row r="54" spans="1:8" ht="31.5" customHeight="1">
      <c r="A54" s="42" t="s">
        <v>36</v>
      </c>
      <c r="B54" s="51" t="s">
        <v>121</v>
      </c>
      <c r="C54" s="3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3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89" t="str">
        <f t="shared" si="2"/>
        <v>-</v>
      </c>
      <c r="F54" s="90" t="str">
        <f t="shared" si="3"/>
        <v>-</v>
      </c>
      <c r="H54" s="197"/>
    </row>
    <row r="55" spans="1:8" ht="31.5" customHeight="1">
      <c r="A55" s="42" t="s">
        <v>120</v>
      </c>
      <c r="B55" s="51" t="s">
        <v>122</v>
      </c>
      <c r="C55" s="3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18513</v>
      </c>
      <c r="D55" s="3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18017</v>
      </c>
      <c r="E55" s="89">
        <f t="shared" si="2"/>
        <v>-496</v>
      </c>
      <c r="F55" s="90">
        <f t="shared" si="3"/>
        <v>0.9732</v>
      </c>
      <c r="H55" s="197"/>
    </row>
    <row r="56" spans="1:8" ht="32.25" customHeight="1">
      <c r="A56" s="44" t="s">
        <v>127</v>
      </c>
      <c r="B56" s="56" t="s">
        <v>155</v>
      </c>
      <c r="C56" s="38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40054</v>
      </c>
      <c r="D56" s="38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133423</v>
      </c>
      <c r="E56" s="13">
        <f>IF(C56=D56,"-",D56-C56)</f>
        <v>93369</v>
      </c>
      <c r="F56" s="93">
        <f>IF(C56=0,"-",D56/C56)</f>
        <v>3.3311</v>
      </c>
      <c r="H56" s="197"/>
    </row>
    <row r="61" ht="12.75">
      <c r="E61" s="116"/>
    </row>
  </sheetData>
  <sheetProtection formatCells="0" formatColumns="0" formatRows="0" insertColumns="0" insertRows="0" insertHyperlinks="0" deleteColumns="0" deleteRows="0"/>
  <mergeCells count="8">
    <mergeCell ref="A1:F1"/>
    <mergeCell ref="D4:D5"/>
    <mergeCell ref="E4:E5"/>
    <mergeCell ref="F4:F5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ySplit="7" topLeftCell="A41" activePane="bottomLeft" state="frozen"/>
      <selection pane="topLeft" activeCell="K87" sqref="K87"/>
      <selection pane="bottomLef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71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4247101</v>
      </c>
      <c r="D7" s="16">
        <f>D8+D9+D10+D12+D13+D14+D15+D16+D17+D18+D19+D20+D21+D22+D24+D25+D26+D27</f>
        <v>4247101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549296</v>
      </c>
      <c r="D8" s="36">
        <f aca="true" t="shared" si="0" ref="D8:D27">C8</f>
        <v>549296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345418</v>
      </c>
      <c r="D9" s="36">
        <f t="shared" si="0"/>
        <v>345418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1992744</v>
      </c>
      <c r="D10" s="36">
        <f t="shared" si="0"/>
        <v>1992744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101151</v>
      </c>
      <c r="D11" s="36">
        <f t="shared" si="0"/>
        <v>101151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158705</v>
      </c>
      <c r="D12" s="36">
        <f t="shared" si="0"/>
        <v>158705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140070</v>
      </c>
      <c r="D13" s="36">
        <f t="shared" si="0"/>
        <v>140070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70375</v>
      </c>
      <c r="D14" s="36">
        <f t="shared" si="0"/>
        <v>70375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16892</v>
      </c>
      <c r="D15" s="36">
        <f t="shared" si="0"/>
        <v>16892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139856</v>
      </c>
      <c r="D16" s="36">
        <f t="shared" si="0"/>
        <v>139856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56650</v>
      </c>
      <c r="D17" s="36">
        <f t="shared" si="0"/>
        <v>56650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2400</v>
      </c>
      <c r="D18" s="36">
        <f t="shared" si="0"/>
        <v>2400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14384</v>
      </c>
      <c r="D19" s="36">
        <f t="shared" si="0"/>
        <v>14384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103535</v>
      </c>
      <c r="D20" s="36">
        <f t="shared" si="0"/>
        <v>103535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43500</v>
      </c>
      <c r="D21" s="36">
        <f t="shared" si="0"/>
        <v>43500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601623</v>
      </c>
      <c r="D22" s="36">
        <f t="shared" si="0"/>
        <v>601623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2652</v>
      </c>
      <c r="D23" s="36">
        <f t="shared" si="0"/>
        <v>2652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11653</v>
      </c>
      <c r="D27" s="36">
        <f t="shared" si="0"/>
        <v>11653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131172</v>
      </c>
      <c r="D29" s="36">
        <f>C29</f>
        <v>131172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31688</v>
      </c>
      <c r="D30" s="34">
        <f>D31+D32+D33+D41+D42+D48+D49+D50+D47</f>
        <v>31688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1357</v>
      </c>
      <c r="D31" s="35">
        <f>C31</f>
        <v>1357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3888</v>
      </c>
      <c r="D32" s="35">
        <f>C32</f>
        <v>3888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270</v>
      </c>
      <c r="D33" s="35">
        <f>D34+D36+D37+D38+D39+D40</f>
        <v>270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76</v>
      </c>
      <c r="D34" s="35">
        <f>C34</f>
        <v>76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56</v>
      </c>
      <c r="D35" s="35">
        <f>C35</f>
        <v>56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13</v>
      </c>
      <c r="D36" s="35">
        <f>C36</f>
        <v>13</v>
      </c>
      <c r="E36" s="89" t="str">
        <f t="shared" si="3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1</v>
      </c>
      <c r="D37" s="35">
        <f aca="true" t="shared" si="4" ref="D37:D47">C37</f>
        <v>1</v>
      </c>
      <c r="E37" s="89" t="str">
        <f t="shared" si="3"/>
        <v>-</v>
      </c>
      <c r="F37" s="90">
        <f t="shared" si="2"/>
        <v>1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179</v>
      </c>
      <c r="D39" s="35">
        <f t="shared" si="4"/>
        <v>179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1</v>
      </c>
      <c r="D40" s="35">
        <f t="shared" si="4"/>
        <v>1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18940</v>
      </c>
      <c r="D41" s="35">
        <f t="shared" si="4"/>
        <v>18940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3823</v>
      </c>
      <c r="D42" s="35">
        <f>SUM(D43:D46)</f>
        <v>3823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2877</v>
      </c>
      <c r="D43" s="35">
        <f>C43</f>
        <v>2877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464</v>
      </c>
      <c r="D44" s="35">
        <f>C44</f>
        <v>464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482</v>
      </c>
      <c r="D46" s="35">
        <f>C46</f>
        <v>482</v>
      </c>
      <c r="E46" s="89" t="str">
        <f t="shared" si="3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2613</v>
      </c>
      <c r="D48" s="35">
        <f>C48</f>
        <v>2613</v>
      </c>
      <c r="E48" s="89" t="str">
        <f t="shared" si="3"/>
        <v>-</v>
      </c>
      <c r="F48" s="92">
        <f t="shared" si="5"/>
        <v>1</v>
      </c>
    </row>
    <row r="49" spans="1:6" ht="43.5" customHeight="1">
      <c r="A49" s="42" t="s">
        <v>30</v>
      </c>
      <c r="B49" s="51" t="s">
        <v>31</v>
      </c>
      <c r="C49" s="36">
        <v>517</v>
      </c>
      <c r="D49" s="35">
        <f>C49</f>
        <v>517</v>
      </c>
      <c r="E49" s="89" t="str">
        <f t="shared" si="3"/>
        <v>-</v>
      </c>
      <c r="F49" s="92">
        <f t="shared" si="5"/>
        <v>1</v>
      </c>
    </row>
    <row r="50" spans="1:6" ht="35.25" customHeight="1">
      <c r="A50" s="42" t="s">
        <v>32</v>
      </c>
      <c r="B50" s="51" t="s">
        <v>33</v>
      </c>
      <c r="C50" s="35">
        <v>280</v>
      </c>
      <c r="D50" s="35">
        <f>C50</f>
        <v>280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176</v>
      </c>
      <c r="C51" s="38">
        <v>16166</v>
      </c>
      <c r="D51" s="38">
        <f>SUM(D52:D55)</f>
        <v>19228</v>
      </c>
      <c r="E51" s="13">
        <f t="shared" si="3"/>
        <v>3062</v>
      </c>
      <c r="F51" s="93">
        <f t="shared" si="5"/>
        <v>1.1894</v>
      </c>
    </row>
    <row r="52" spans="1:6" ht="42" customHeight="1">
      <c r="A52" s="42" t="s">
        <v>119</v>
      </c>
      <c r="B52" s="51" t="s">
        <v>144</v>
      </c>
      <c r="C52" s="35">
        <v>8</v>
      </c>
      <c r="D52" s="35">
        <f>C52+12</f>
        <v>20</v>
      </c>
      <c r="E52" s="94">
        <f>IF(C52=D52,"-",D52-C52)</f>
        <v>12</v>
      </c>
      <c r="F52" s="90">
        <f t="shared" si="5"/>
        <v>2.5</v>
      </c>
    </row>
    <row r="53" spans="1:6" ht="31.5" customHeight="1">
      <c r="A53" s="42" t="s">
        <v>35</v>
      </c>
      <c r="B53" s="51" t="s">
        <v>63</v>
      </c>
      <c r="C53" s="35">
        <v>16058</v>
      </c>
      <c r="D53" s="35">
        <f>C53</f>
        <v>16058</v>
      </c>
      <c r="E53" s="94" t="str">
        <f>IF(C53=D53,"-",D53-C53)</f>
        <v>-</v>
      </c>
      <c r="F53" s="90">
        <f t="shared" si="5"/>
        <v>1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90" t="str">
        <f t="shared" si="5"/>
        <v>-</v>
      </c>
    </row>
    <row r="55" spans="1:6" ht="31.5" customHeight="1">
      <c r="A55" s="42" t="s">
        <v>120</v>
      </c>
      <c r="B55" s="51" t="s">
        <v>122</v>
      </c>
      <c r="C55" s="35">
        <v>100</v>
      </c>
      <c r="D55" s="35">
        <f>C55+3050</f>
        <v>3150</v>
      </c>
      <c r="E55" s="94">
        <f>IF(C55=D55,"-",D55-C55)</f>
        <v>3050</v>
      </c>
      <c r="F55" s="90">
        <f t="shared" si="5"/>
        <v>31.5</v>
      </c>
    </row>
    <row r="56" spans="1:6" ht="32.25" customHeight="1">
      <c r="A56" s="44" t="s">
        <v>127</v>
      </c>
      <c r="B56" s="56" t="s">
        <v>155</v>
      </c>
      <c r="C56" s="38">
        <v>1244</v>
      </c>
      <c r="D56" s="38">
        <f>C56-965+251</f>
        <v>530</v>
      </c>
      <c r="E56" s="13">
        <f>IF(C56=D56,"-",D56-C56)</f>
        <v>-714</v>
      </c>
      <c r="F56" s="93">
        <f>IF(C56=0,"-",D56/C56)</f>
        <v>0.426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4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72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2944963</v>
      </c>
      <c r="D7" s="16">
        <f>D8+D9+D10+D12+D13+D14+D15+D16+D17+D18+D19+D20+D21+D22+D24+D25+D26+D27</f>
        <v>2944963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403038</v>
      </c>
      <c r="D8" s="36">
        <f aca="true" t="shared" si="0" ref="D8:D22">C8</f>
        <v>403038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218697</v>
      </c>
      <c r="D9" s="36">
        <f t="shared" si="0"/>
        <v>218697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1418544</v>
      </c>
      <c r="D10" s="36">
        <f t="shared" si="0"/>
        <v>1418544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62298</v>
      </c>
      <c r="D11" s="36">
        <f t="shared" si="0"/>
        <v>62298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96676</v>
      </c>
      <c r="D12" s="36">
        <f t="shared" si="0"/>
        <v>96676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74285</v>
      </c>
      <c r="D13" s="36">
        <f t="shared" si="0"/>
        <v>74285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32128</v>
      </c>
      <c r="D14" s="36">
        <f t="shared" si="0"/>
        <v>32128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23278</v>
      </c>
      <c r="D15" s="36">
        <f t="shared" si="0"/>
        <v>23278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99047</v>
      </c>
      <c r="D16" s="36">
        <f t="shared" si="0"/>
        <v>99047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38698</v>
      </c>
      <c r="D17" s="36">
        <f t="shared" si="0"/>
        <v>38698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2158</v>
      </c>
      <c r="D18" s="36">
        <f t="shared" si="0"/>
        <v>2158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8896</v>
      </c>
      <c r="D19" s="36">
        <f t="shared" si="0"/>
        <v>8896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77175</v>
      </c>
      <c r="D20" s="36">
        <f t="shared" si="0"/>
        <v>77175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29420</v>
      </c>
      <c r="D21" s="36">
        <f t="shared" si="0"/>
        <v>29420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420823</v>
      </c>
      <c r="D22" s="36">
        <f t="shared" si="0"/>
        <v>420823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650</v>
      </c>
      <c r="D23" s="36">
        <f aca="true" t="shared" si="3" ref="D23:D29">C23</f>
        <v>650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2100</v>
      </c>
      <c r="D27" s="36">
        <f t="shared" si="3"/>
        <v>2100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102965</v>
      </c>
      <c r="D29" s="36">
        <f t="shared" si="3"/>
        <v>102965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25662</v>
      </c>
      <c r="D30" s="34">
        <f>D31+D32+D33+D41+D42+D48+D49+D50+D47</f>
        <v>25662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951</v>
      </c>
      <c r="D31" s="35">
        <f>C31</f>
        <v>951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2402</v>
      </c>
      <c r="D32" s="35">
        <f>C32</f>
        <v>2402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125</v>
      </c>
      <c r="D33" s="35">
        <f>D34+D36+D37+D38+D39+D40</f>
        <v>125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20</v>
      </c>
      <c r="D34" s="35">
        <f aca="true" t="shared" si="5" ref="D34:D41">C34</f>
        <v>20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20</v>
      </c>
      <c r="D35" s="35">
        <f t="shared" si="5"/>
        <v>20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4</v>
      </c>
      <c r="D36" s="35">
        <f t="shared" si="5"/>
        <v>4</v>
      </c>
      <c r="E36" s="89" t="str">
        <f t="shared" si="4"/>
        <v>-</v>
      </c>
      <c r="F36" s="90">
        <f t="shared" si="2"/>
        <v>1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99</v>
      </c>
      <c r="D39" s="35">
        <f t="shared" si="5"/>
        <v>99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2</v>
      </c>
      <c r="D40" s="35">
        <f t="shared" si="5"/>
        <v>2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13363</v>
      </c>
      <c r="D41" s="35">
        <f t="shared" si="5"/>
        <v>13363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2697</v>
      </c>
      <c r="D42" s="35">
        <f>SUM(D43:D46)</f>
        <v>2697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1910</v>
      </c>
      <c r="D43" s="35">
        <f aca="true" t="shared" si="6" ref="D43:D50">C43</f>
        <v>1910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327</v>
      </c>
      <c r="D44" s="35">
        <f t="shared" si="6"/>
        <v>327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6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460</v>
      </c>
      <c r="D46" s="35">
        <f t="shared" si="6"/>
        <v>460</v>
      </c>
      <c r="E46" s="89" t="str">
        <f t="shared" si="4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6"/>
        <v>0</v>
      </c>
      <c r="E47" s="89" t="str">
        <f t="shared" si="4"/>
        <v>-</v>
      </c>
      <c r="F47" s="90" t="str">
        <f aca="true" t="shared" si="7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5682</v>
      </c>
      <c r="D48" s="35">
        <f t="shared" si="6"/>
        <v>5682</v>
      </c>
      <c r="E48" s="89" t="str">
        <f t="shared" si="4"/>
        <v>-</v>
      </c>
      <c r="F48" s="92">
        <f t="shared" si="7"/>
        <v>1</v>
      </c>
    </row>
    <row r="49" spans="1:6" ht="43.5" customHeight="1">
      <c r="A49" s="42" t="s">
        <v>30</v>
      </c>
      <c r="B49" s="51" t="s">
        <v>31</v>
      </c>
      <c r="C49" s="36">
        <v>129</v>
      </c>
      <c r="D49" s="35">
        <f t="shared" si="6"/>
        <v>129</v>
      </c>
      <c r="E49" s="89" t="str">
        <f t="shared" si="4"/>
        <v>-</v>
      </c>
      <c r="F49" s="92">
        <f t="shared" si="7"/>
        <v>1</v>
      </c>
    </row>
    <row r="50" spans="1:6" ht="35.25" customHeight="1">
      <c r="A50" s="42" t="s">
        <v>32</v>
      </c>
      <c r="B50" s="51" t="s">
        <v>33</v>
      </c>
      <c r="C50" s="35">
        <v>313</v>
      </c>
      <c r="D50" s="35">
        <f t="shared" si="6"/>
        <v>313</v>
      </c>
      <c r="E50" s="89" t="str">
        <f t="shared" si="4"/>
        <v>-</v>
      </c>
      <c r="F50" s="90">
        <f t="shared" si="7"/>
        <v>1</v>
      </c>
    </row>
    <row r="51" spans="1:6" s="3" customFormat="1" ht="30" customHeight="1">
      <c r="A51" s="44" t="s">
        <v>34</v>
      </c>
      <c r="B51" s="56" t="s">
        <v>176</v>
      </c>
      <c r="C51" s="38">
        <v>12369</v>
      </c>
      <c r="D51" s="38">
        <f>SUM(D52:D55)</f>
        <v>60973</v>
      </c>
      <c r="E51" s="13">
        <f t="shared" si="4"/>
        <v>48604</v>
      </c>
      <c r="F51" s="93">
        <f t="shared" si="7"/>
        <v>4.9295</v>
      </c>
    </row>
    <row r="52" spans="1:6" ht="42" customHeight="1">
      <c r="A52" s="42" t="s">
        <v>119</v>
      </c>
      <c r="B52" s="51" t="s">
        <v>144</v>
      </c>
      <c r="C52" s="35">
        <v>477</v>
      </c>
      <c r="D52" s="35">
        <f>C52-463</f>
        <v>14</v>
      </c>
      <c r="E52" s="94">
        <f>IF(C52=D52,"-",D52-C52)</f>
        <v>-463</v>
      </c>
      <c r="F52" s="100">
        <f t="shared" si="7"/>
        <v>0.0294</v>
      </c>
    </row>
    <row r="53" spans="1:6" ht="31.5" customHeight="1">
      <c r="A53" s="42" t="s">
        <v>35</v>
      </c>
      <c r="B53" s="51" t="s">
        <v>63</v>
      </c>
      <c r="C53" s="35">
        <v>11617</v>
      </c>
      <c r="D53" s="35">
        <f>C53+47542</f>
        <v>59159</v>
      </c>
      <c r="E53" s="94">
        <f>IF(C53=D53,"-",D53-C53)</f>
        <v>47542</v>
      </c>
      <c r="F53" s="100">
        <f t="shared" si="7"/>
        <v>5.0925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7"/>
        <v>-</v>
      </c>
    </row>
    <row r="55" spans="1:6" ht="31.5" customHeight="1">
      <c r="A55" s="42" t="s">
        <v>120</v>
      </c>
      <c r="B55" s="51" t="s">
        <v>122</v>
      </c>
      <c r="C55" s="35">
        <v>275</v>
      </c>
      <c r="D55" s="35">
        <f>C55+1525</f>
        <v>1800</v>
      </c>
      <c r="E55" s="94">
        <f>IF(C55=D55,"-",D55-C55)</f>
        <v>1525</v>
      </c>
      <c r="F55" s="100">
        <f t="shared" si="7"/>
        <v>6.5455</v>
      </c>
    </row>
    <row r="56" spans="1:6" ht="32.25" customHeight="1">
      <c r="A56" s="44" t="s">
        <v>127</v>
      </c>
      <c r="B56" s="56" t="s">
        <v>155</v>
      </c>
      <c r="C56" s="38">
        <v>886</v>
      </c>
      <c r="D56" s="38">
        <f>C56+32392</f>
        <v>33278</v>
      </c>
      <c r="E56" s="13">
        <f>IF(C56=D56,"-",D56-C56)</f>
        <v>32392</v>
      </c>
      <c r="F56" s="93">
        <f>IF(C56=0,"-",D56/C56)</f>
        <v>37.5598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35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73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3030875</v>
      </c>
      <c r="D7" s="16">
        <f>D8+D9+D10+D12+D13+D14+D15+D16+D17+D18+D19+D20+D21+D22+D24+D25+D26+D27</f>
        <v>3030875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403835</v>
      </c>
      <c r="D8" s="36">
        <f aca="true" t="shared" si="0" ref="D8:D23">C8</f>
        <v>403835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220524</v>
      </c>
      <c r="D9" s="36">
        <f t="shared" si="0"/>
        <v>220524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1461685</v>
      </c>
      <c r="D10" s="36">
        <f t="shared" si="0"/>
        <v>1461685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60120</v>
      </c>
      <c r="D11" s="36">
        <f t="shared" si="0"/>
        <v>60120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104959</v>
      </c>
      <c r="D12" s="36">
        <f t="shared" si="0"/>
        <v>104959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85489</v>
      </c>
      <c r="D13" s="36">
        <f t="shared" si="0"/>
        <v>85489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35580</v>
      </c>
      <c r="D14" s="36">
        <f t="shared" si="0"/>
        <v>35580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12020</v>
      </c>
      <c r="D15" s="36">
        <f t="shared" si="0"/>
        <v>12020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119243</v>
      </c>
      <c r="D16" s="36">
        <f t="shared" si="0"/>
        <v>119243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40014</v>
      </c>
      <c r="D17" s="36">
        <f t="shared" si="0"/>
        <v>40014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2300</v>
      </c>
      <c r="D18" s="36">
        <f t="shared" si="0"/>
        <v>2300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7513</v>
      </c>
      <c r="D19" s="36">
        <f t="shared" si="0"/>
        <v>7513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69390</v>
      </c>
      <c r="D20" s="36">
        <f t="shared" si="0"/>
        <v>69390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30000</v>
      </c>
      <c r="D21" s="36">
        <f t="shared" si="0"/>
        <v>30000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438063</v>
      </c>
      <c r="D22" s="36">
        <f t="shared" si="0"/>
        <v>438063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2000</v>
      </c>
      <c r="D23" s="36">
        <f t="shared" si="0"/>
        <v>2000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aca="true" t="shared" si="3" ref="D24:D29">C24</f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260</v>
      </c>
      <c r="D27" s="36">
        <f t="shared" si="3"/>
        <v>260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105734</v>
      </c>
      <c r="D29" s="36">
        <f t="shared" si="3"/>
        <v>105734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22718</v>
      </c>
      <c r="D30" s="34">
        <f>D31+D32+D33+D41+D42+D48+D49+D50+D47</f>
        <v>22718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849</v>
      </c>
      <c r="D31" s="35">
        <f>C31</f>
        <v>849</v>
      </c>
      <c r="E31" s="89" t="str">
        <f aca="true" t="shared" si="4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1830</v>
      </c>
      <c r="D32" s="35">
        <f>C32</f>
        <v>1830</v>
      </c>
      <c r="E32" s="89" t="str">
        <f t="shared" si="4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158</v>
      </c>
      <c r="D33" s="35">
        <f>D34+D36+D37+D38+D39+D40</f>
        <v>158</v>
      </c>
      <c r="E33" s="89" t="str">
        <f t="shared" si="4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26</v>
      </c>
      <c r="D34" s="35">
        <f>C34</f>
        <v>26</v>
      </c>
      <c r="E34" s="89" t="str">
        <f t="shared" si="4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26</v>
      </c>
      <c r="D35" s="35">
        <f aca="true" t="shared" si="5" ref="D35:D47">C35</f>
        <v>26</v>
      </c>
      <c r="E35" s="89" t="str">
        <f t="shared" si="4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5"/>
        <v>0</v>
      </c>
      <c r="E36" s="89" t="str">
        <f t="shared" si="4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120</v>
      </c>
      <c r="D39" s="35">
        <f>C39</f>
        <v>120</v>
      </c>
      <c r="E39" s="89" t="str">
        <f t="shared" si="4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12</v>
      </c>
      <c r="D40" s="35">
        <f t="shared" si="5"/>
        <v>12</v>
      </c>
      <c r="E40" s="89" t="str">
        <f t="shared" si="4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13883</v>
      </c>
      <c r="D41" s="35">
        <f t="shared" si="5"/>
        <v>13883</v>
      </c>
      <c r="E41" s="89" t="str">
        <f t="shared" si="4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2801</v>
      </c>
      <c r="D42" s="35">
        <f>SUM(D43:D46)</f>
        <v>2801</v>
      </c>
      <c r="E42" s="89" t="str">
        <f t="shared" si="4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2109</v>
      </c>
      <c r="D43" s="35">
        <f>C43</f>
        <v>2109</v>
      </c>
      <c r="E43" s="89" t="str">
        <f t="shared" si="4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340</v>
      </c>
      <c r="D44" s="35">
        <f>C44</f>
        <v>340</v>
      </c>
      <c r="E44" s="89" t="str">
        <f t="shared" si="4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352</v>
      </c>
      <c r="D46" s="35">
        <f>C46</f>
        <v>352</v>
      </c>
      <c r="E46" s="89" t="str">
        <f t="shared" si="4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2491</v>
      </c>
      <c r="D48" s="35">
        <f>C48</f>
        <v>2491</v>
      </c>
      <c r="E48" s="89" t="str">
        <f t="shared" si="4"/>
        <v>-</v>
      </c>
      <c r="F48" s="92">
        <f t="shared" si="6"/>
        <v>1</v>
      </c>
    </row>
    <row r="49" spans="1:6" ht="43.5" customHeight="1">
      <c r="A49" s="42" t="s">
        <v>30</v>
      </c>
      <c r="B49" s="51" t="s">
        <v>31</v>
      </c>
      <c r="C49" s="36">
        <v>503</v>
      </c>
      <c r="D49" s="35">
        <f>C49</f>
        <v>503</v>
      </c>
      <c r="E49" s="89" t="str">
        <f t="shared" si="4"/>
        <v>-</v>
      </c>
      <c r="F49" s="92">
        <f t="shared" si="6"/>
        <v>1</v>
      </c>
    </row>
    <row r="50" spans="1:6" ht="35.25" customHeight="1">
      <c r="A50" s="42" t="s">
        <v>32</v>
      </c>
      <c r="B50" s="51" t="s">
        <v>33</v>
      </c>
      <c r="C50" s="35">
        <v>203</v>
      </c>
      <c r="D50" s="35">
        <f>C50</f>
        <v>203</v>
      </c>
      <c r="E50" s="89" t="str">
        <f t="shared" si="4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176</v>
      </c>
      <c r="C51" s="38">
        <v>12632</v>
      </c>
      <c r="D51" s="38">
        <f>SUM(D52:D55)</f>
        <v>12102</v>
      </c>
      <c r="E51" s="13">
        <f t="shared" si="4"/>
        <v>-530</v>
      </c>
      <c r="F51" s="93">
        <f t="shared" si="6"/>
        <v>0.958</v>
      </c>
    </row>
    <row r="52" spans="1:6" ht="42" customHeight="1">
      <c r="A52" s="42" t="s">
        <v>119</v>
      </c>
      <c r="B52" s="51" t="s">
        <v>144</v>
      </c>
      <c r="C52" s="35">
        <v>51</v>
      </c>
      <c r="D52" s="35">
        <f>C52-36</f>
        <v>15</v>
      </c>
      <c r="E52" s="94">
        <f>IF(C52=D52,"-",D52-C52)</f>
        <v>-36</v>
      </c>
      <c r="F52" s="100">
        <f t="shared" si="6"/>
        <v>0.2941</v>
      </c>
    </row>
    <row r="53" spans="1:6" ht="31.5" customHeight="1">
      <c r="A53" s="42" t="s">
        <v>35</v>
      </c>
      <c r="B53" s="51" t="s">
        <v>63</v>
      </c>
      <c r="C53" s="35">
        <v>11837</v>
      </c>
      <c r="D53" s="35">
        <f>C53</f>
        <v>11837</v>
      </c>
      <c r="E53" s="94" t="str">
        <f>IF(C53=D53,"-",D53-C53)</f>
        <v>-</v>
      </c>
      <c r="F53" s="100">
        <f t="shared" si="6"/>
        <v>1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1.5" customHeight="1">
      <c r="A55" s="42" t="s">
        <v>120</v>
      </c>
      <c r="B55" s="51" t="s">
        <v>122</v>
      </c>
      <c r="C55" s="35">
        <v>744</v>
      </c>
      <c r="D55" s="35">
        <f>C55-494</f>
        <v>250</v>
      </c>
      <c r="E55" s="94">
        <f>IF(C55=D55,"-",D55-C55)</f>
        <v>-494</v>
      </c>
      <c r="F55" s="100">
        <f t="shared" si="6"/>
        <v>0.336</v>
      </c>
    </row>
    <row r="56" spans="1:6" ht="32.25" customHeight="1">
      <c r="A56" s="44" t="s">
        <v>127</v>
      </c>
      <c r="B56" s="56" t="s">
        <v>155</v>
      </c>
      <c r="C56" s="38">
        <v>10800</v>
      </c>
      <c r="D56" s="38">
        <f>C56-603</f>
        <v>10197</v>
      </c>
      <c r="E56" s="13">
        <f>IF(C56=D56,"-",D56-C56)</f>
        <v>-603</v>
      </c>
      <c r="F56" s="93">
        <f>IF(C56=0,"-",D56/C56)</f>
        <v>0.9442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35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74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1383254</v>
      </c>
      <c r="D7" s="16">
        <f>D8+D9+D10+D12+D13+D14+D15+D16+D17+D18+D19+D20+D21+D22+D24+D25+D26+D27</f>
        <v>1383254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195327</v>
      </c>
      <c r="D8" s="36">
        <f aca="true" t="shared" si="0" ref="D8:D28">C8</f>
        <v>195327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101906</v>
      </c>
      <c r="D9" s="36">
        <f t="shared" si="0"/>
        <v>101906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622937</v>
      </c>
      <c r="D10" s="36">
        <f t="shared" si="0"/>
        <v>622937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29254</v>
      </c>
      <c r="D11" s="36">
        <f t="shared" si="0"/>
        <v>29254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74971</v>
      </c>
      <c r="D12" s="36">
        <f t="shared" si="0"/>
        <v>74971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42296</v>
      </c>
      <c r="D13" s="36">
        <f t="shared" si="0"/>
        <v>42296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16019</v>
      </c>
      <c r="D14" s="36">
        <f t="shared" si="0"/>
        <v>16019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6248</v>
      </c>
      <c r="D15" s="36">
        <f t="shared" si="0"/>
        <v>6248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43822</v>
      </c>
      <c r="D16" s="36">
        <f t="shared" si="0"/>
        <v>43822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15144</v>
      </c>
      <c r="D17" s="36">
        <f t="shared" si="0"/>
        <v>15144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2350</v>
      </c>
      <c r="D18" s="36">
        <f t="shared" si="0"/>
        <v>2350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3789</v>
      </c>
      <c r="D19" s="36">
        <f t="shared" si="0"/>
        <v>3789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33013</v>
      </c>
      <c r="D20" s="36">
        <f t="shared" si="0"/>
        <v>33013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15958</v>
      </c>
      <c r="D21" s="36">
        <f t="shared" si="0"/>
        <v>15958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195674</v>
      </c>
      <c r="D22" s="36">
        <f t="shared" si="0"/>
        <v>195674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460</v>
      </c>
      <c r="D23" s="36">
        <f t="shared" si="0"/>
        <v>460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13800</v>
      </c>
      <c r="D27" s="36">
        <f t="shared" si="0"/>
        <v>13800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0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61433</v>
      </c>
      <c r="D29" s="36">
        <f>C29</f>
        <v>61433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14530</v>
      </c>
      <c r="D30" s="34">
        <f>D31+D32+D33+D41+D42+D48+D49+D50+D47</f>
        <v>14530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553</v>
      </c>
      <c r="D31" s="35">
        <f>C31</f>
        <v>553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1725</v>
      </c>
      <c r="D32" s="35">
        <f>C32</f>
        <v>1725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122</v>
      </c>
      <c r="D33" s="35">
        <f>D34+D36+D37+D38+D39+D40</f>
        <v>122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25</v>
      </c>
      <c r="D34" s="35">
        <f aca="true" t="shared" si="4" ref="D34:D41">C34</f>
        <v>25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25</v>
      </c>
      <c r="D35" s="35">
        <f t="shared" si="4"/>
        <v>25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97</v>
      </c>
      <c r="D39" s="35">
        <f t="shared" si="4"/>
        <v>97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0</v>
      </c>
      <c r="D40" s="35">
        <f t="shared" si="4"/>
        <v>0</v>
      </c>
      <c r="E40" s="89" t="str">
        <f t="shared" si="3"/>
        <v>-</v>
      </c>
      <c r="F40" s="90" t="str">
        <f t="shared" si="2"/>
        <v>-</v>
      </c>
    </row>
    <row r="41" spans="1:6" ht="28.5" customHeight="1">
      <c r="A41" s="42" t="s">
        <v>24</v>
      </c>
      <c r="B41" s="51" t="s">
        <v>25</v>
      </c>
      <c r="C41" s="35">
        <v>7694</v>
      </c>
      <c r="D41" s="35">
        <f t="shared" si="4"/>
        <v>7694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1555</v>
      </c>
      <c r="D42" s="35">
        <f>SUM(D43:D46)</f>
        <v>1555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1169</v>
      </c>
      <c r="D43" s="35">
        <f aca="true" t="shared" si="5" ref="D43:D50">C43</f>
        <v>1169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189</v>
      </c>
      <c r="D44" s="35">
        <f t="shared" si="5"/>
        <v>189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197</v>
      </c>
      <c r="D46" s="35">
        <f t="shared" si="5"/>
        <v>197</v>
      </c>
      <c r="E46" s="89" t="str">
        <f t="shared" si="3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3"/>
        <v>-</v>
      </c>
      <c r="F47" s="90" t="str">
        <f aca="true" t="shared" si="6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2332</v>
      </c>
      <c r="D48" s="35">
        <f t="shared" si="5"/>
        <v>2332</v>
      </c>
      <c r="E48" s="89" t="str">
        <f t="shared" si="3"/>
        <v>-</v>
      </c>
      <c r="F48" s="92">
        <f t="shared" si="6"/>
        <v>1</v>
      </c>
    </row>
    <row r="49" spans="1:6" ht="43.5" customHeight="1">
      <c r="A49" s="42" t="s">
        <v>30</v>
      </c>
      <c r="B49" s="51" t="s">
        <v>31</v>
      </c>
      <c r="C49" s="36">
        <v>296</v>
      </c>
      <c r="D49" s="35">
        <f t="shared" si="5"/>
        <v>296</v>
      </c>
      <c r="E49" s="89" t="str">
        <f t="shared" si="3"/>
        <v>-</v>
      </c>
      <c r="F49" s="92">
        <f t="shared" si="6"/>
        <v>1</v>
      </c>
    </row>
    <row r="50" spans="1:6" ht="35.25" customHeight="1">
      <c r="A50" s="42" t="s">
        <v>32</v>
      </c>
      <c r="B50" s="51" t="s">
        <v>33</v>
      </c>
      <c r="C50" s="35">
        <v>253</v>
      </c>
      <c r="D50" s="35">
        <f t="shared" si="5"/>
        <v>253</v>
      </c>
      <c r="E50" s="89" t="str">
        <f t="shared" si="3"/>
        <v>-</v>
      </c>
      <c r="F50" s="90">
        <f t="shared" si="6"/>
        <v>1</v>
      </c>
    </row>
    <row r="51" spans="1:6" s="3" customFormat="1" ht="30" customHeight="1">
      <c r="A51" s="44" t="s">
        <v>34</v>
      </c>
      <c r="B51" s="56" t="s">
        <v>176</v>
      </c>
      <c r="C51" s="38">
        <v>9200</v>
      </c>
      <c r="D51" s="38">
        <f>SUM(D52:D55)</f>
        <v>7796</v>
      </c>
      <c r="E51" s="13">
        <f t="shared" si="3"/>
        <v>-1404</v>
      </c>
      <c r="F51" s="93">
        <f t="shared" si="6"/>
        <v>0.8474</v>
      </c>
    </row>
    <row r="52" spans="1:6" ht="42" customHeight="1">
      <c r="A52" s="42" t="s">
        <v>119</v>
      </c>
      <c r="B52" s="51" t="s">
        <v>144</v>
      </c>
      <c r="C52" s="35">
        <v>4087</v>
      </c>
      <c r="D52" s="35">
        <f>C52-942+555</f>
        <v>3700</v>
      </c>
      <c r="E52" s="94">
        <f>IF(C52=D52,"-",D52-C52)</f>
        <v>-387</v>
      </c>
      <c r="F52" s="100">
        <f t="shared" si="6"/>
        <v>0.9053</v>
      </c>
    </row>
    <row r="53" spans="1:6" ht="31.5" customHeight="1">
      <c r="A53" s="42" t="s">
        <v>35</v>
      </c>
      <c r="B53" s="51" t="s">
        <v>63</v>
      </c>
      <c r="C53" s="35">
        <v>4913</v>
      </c>
      <c r="D53" s="35">
        <f>C53-867</f>
        <v>4046</v>
      </c>
      <c r="E53" s="94">
        <f>IF(C53=D53,"-",D53-C53)</f>
        <v>-867</v>
      </c>
      <c r="F53" s="100">
        <f t="shared" si="6"/>
        <v>0.8235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</row>
    <row r="55" spans="1:6" ht="31.5" customHeight="1">
      <c r="A55" s="42" t="s">
        <v>120</v>
      </c>
      <c r="B55" s="51" t="s">
        <v>122</v>
      </c>
      <c r="C55" s="35">
        <v>200</v>
      </c>
      <c r="D55" s="35">
        <f>C55-170+20</f>
        <v>50</v>
      </c>
      <c r="E55" s="94">
        <f>IF(C55=D55,"-",D55-C55)</f>
        <v>-150</v>
      </c>
      <c r="F55" s="100">
        <f t="shared" si="6"/>
        <v>0.25</v>
      </c>
    </row>
    <row r="56" spans="1:6" ht="32.25" customHeight="1">
      <c r="A56" s="44" t="s">
        <v>127</v>
      </c>
      <c r="B56" s="56" t="s">
        <v>155</v>
      </c>
      <c r="C56" s="38">
        <v>1</v>
      </c>
      <c r="D56" s="38">
        <f>C56+43</f>
        <v>44</v>
      </c>
      <c r="E56" s="13">
        <f>IF(C56=D56,"-",D56-C56)</f>
        <v>43</v>
      </c>
      <c r="F56" s="93">
        <f>IF(C56=0,"-",D56/C56)</f>
        <v>44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="55" zoomScaleNormal="55" zoomScaleSheetLayoutView="55" zoomScalePageLayoutView="0" workbookViewId="0" topLeftCell="A1">
      <pane xSplit="2" ySplit="7" topLeftCell="C4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75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</row>
    <row r="5" spans="1:6" s="6" customFormat="1" ht="33" customHeight="1">
      <c r="A5" s="208"/>
      <c r="B5" s="208"/>
      <c r="C5" s="205"/>
      <c r="D5" s="202"/>
      <c r="E5" s="203"/>
      <c r="F5" s="20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</row>
    <row r="7" spans="1:6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3764499</v>
      </c>
      <c r="D7" s="16">
        <f>D8+D9+D10+D12+D13+D14+D15+D16+D17+D18+D19+D20+D21+D22+D24+D25+D26+D27</f>
        <v>3764499</v>
      </c>
      <c r="E7" s="13" t="str">
        <f>IF(C7=D7,"-",D7-C7)</f>
        <v>-</v>
      </c>
      <c r="F7" s="88">
        <f>IF(C7=0,"-",D7/C7)</f>
        <v>1</v>
      </c>
    </row>
    <row r="8" spans="1:6" ht="31.5" customHeight="1">
      <c r="A8" s="40" t="s">
        <v>1</v>
      </c>
      <c r="B8" s="102" t="s">
        <v>167</v>
      </c>
      <c r="C8" s="36">
        <v>496429</v>
      </c>
      <c r="D8" s="36">
        <f aca="true" t="shared" si="0" ref="D8:D28">C8</f>
        <v>496429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</row>
    <row r="9" spans="1:6" ht="31.5" customHeight="1">
      <c r="A9" s="40" t="s">
        <v>2</v>
      </c>
      <c r="B9" s="102" t="s">
        <v>168</v>
      </c>
      <c r="C9" s="36">
        <v>251418</v>
      </c>
      <c r="D9" s="36">
        <f t="shared" si="0"/>
        <v>251418</v>
      </c>
      <c r="E9" s="89" t="str">
        <f t="shared" si="1"/>
        <v>-</v>
      </c>
      <c r="F9" s="90">
        <f t="shared" si="2"/>
        <v>1</v>
      </c>
    </row>
    <row r="10" spans="1:6" ht="31.5" customHeight="1">
      <c r="A10" s="40" t="s">
        <v>3</v>
      </c>
      <c r="B10" s="102" t="s">
        <v>158</v>
      </c>
      <c r="C10" s="36">
        <v>1813659</v>
      </c>
      <c r="D10" s="36">
        <f t="shared" si="0"/>
        <v>1813659</v>
      </c>
      <c r="E10" s="89" t="str">
        <f t="shared" si="1"/>
        <v>-</v>
      </c>
      <c r="F10" s="90">
        <f t="shared" si="2"/>
        <v>1</v>
      </c>
    </row>
    <row r="11" spans="1:6" ht="31.5" customHeight="1">
      <c r="A11" s="103" t="s">
        <v>64</v>
      </c>
      <c r="B11" s="45" t="s">
        <v>65</v>
      </c>
      <c r="C11" s="36">
        <v>74779</v>
      </c>
      <c r="D11" s="36">
        <f t="shared" si="0"/>
        <v>74779</v>
      </c>
      <c r="E11" s="89" t="str">
        <f t="shared" si="1"/>
        <v>-</v>
      </c>
      <c r="F11" s="90">
        <f t="shared" si="2"/>
        <v>1</v>
      </c>
    </row>
    <row r="12" spans="1:6" ht="31.5" customHeight="1">
      <c r="A12" s="40" t="s">
        <v>4</v>
      </c>
      <c r="B12" s="102" t="s">
        <v>174</v>
      </c>
      <c r="C12" s="36">
        <v>129358</v>
      </c>
      <c r="D12" s="36">
        <f t="shared" si="0"/>
        <v>129358</v>
      </c>
      <c r="E12" s="89" t="str">
        <f t="shared" si="1"/>
        <v>-</v>
      </c>
      <c r="F12" s="90">
        <f t="shared" si="2"/>
        <v>1</v>
      </c>
    </row>
    <row r="13" spans="1:6" ht="31.5" customHeight="1">
      <c r="A13" s="40" t="s">
        <v>5</v>
      </c>
      <c r="B13" s="102" t="s">
        <v>169</v>
      </c>
      <c r="C13" s="36">
        <v>106624</v>
      </c>
      <c r="D13" s="36">
        <f t="shared" si="0"/>
        <v>106624</v>
      </c>
      <c r="E13" s="89" t="str">
        <f t="shared" si="1"/>
        <v>-</v>
      </c>
      <c r="F13" s="90">
        <f t="shared" si="2"/>
        <v>1</v>
      </c>
    </row>
    <row r="14" spans="1:6" ht="31.5" customHeight="1">
      <c r="A14" s="40" t="s">
        <v>6</v>
      </c>
      <c r="B14" s="102" t="s">
        <v>178</v>
      </c>
      <c r="C14" s="36">
        <v>42167</v>
      </c>
      <c r="D14" s="36">
        <f t="shared" si="0"/>
        <v>42167</v>
      </c>
      <c r="E14" s="89" t="str">
        <f t="shared" si="1"/>
        <v>-</v>
      </c>
      <c r="F14" s="90">
        <f t="shared" si="2"/>
        <v>1</v>
      </c>
    </row>
    <row r="15" spans="1:6" ht="31.5" customHeight="1">
      <c r="A15" s="40" t="s">
        <v>7</v>
      </c>
      <c r="B15" s="102" t="s">
        <v>177</v>
      </c>
      <c r="C15" s="36">
        <v>17906</v>
      </c>
      <c r="D15" s="36">
        <f t="shared" si="0"/>
        <v>17906</v>
      </c>
      <c r="E15" s="89" t="str">
        <f>IF(C15=D15,"-",D15-C15)</f>
        <v>-</v>
      </c>
      <c r="F15" s="90">
        <f>IF(C15=0,"-",D15/C15)</f>
        <v>1</v>
      </c>
    </row>
    <row r="16" spans="1:6" ht="31.5" customHeight="1">
      <c r="A16" s="40" t="s">
        <v>8</v>
      </c>
      <c r="B16" s="102" t="s">
        <v>170</v>
      </c>
      <c r="C16" s="36">
        <v>125518</v>
      </c>
      <c r="D16" s="36">
        <f t="shared" si="0"/>
        <v>125518</v>
      </c>
      <c r="E16" s="89" t="str">
        <f t="shared" si="1"/>
        <v>-</v>
      </c>
      <c r="F16" s="90">
        <f t="shared" si="2"/>
        <v>1</v>
      </c>
    </row>
    <row r="17" spans="1:6" ht="31.5" customHeight="1">
      <c r="A17" s="40" t="s">
        <v>9</v>
      </c>
      <c r="B17" s="102" t="s">
        <v>171</v>
      </c>
      <c r="C17" s="36">
        <v>50024</v>
      </c>
      <c r="D17" s="36">
        <f t="shared" si="0"/>
        <v>50024</v>
      </c>
      <c r="E17" s="89" t="str">
        <f t="shared" si="1"/>
        <v>-</v>
      </c>
      <c r="F17" s="90">
        <f t="shared" si="2"/>
        <v>1</v>
      </c>
    </row>
    <row r="18" spans="1:6" ht="31.5" customHeight="1">
      <c r="A18" s="40" t="s">
        <v>10</v>
      </c>
      <c r="B18" s="102" t="s">
        <v>179</v>
      </c>
      <c r="C18" s="36">
        <v>2224</v>
      </c>
      <c r="D18" s="36">
        <f t="shared" si="0"/>
        <v>2224</v>
      </c>
      <c r="E18" s="89" t="str">
        <f t="shared" si="1"/>
        <v>-</v>
      </c>
      <c r="F18" s="90">
        <f t="shared" si="2"/>
        <v>1</v>
      </c>
    </row>
    <row r="19" spans="1:6" ht="46.5" customHeight="1">
      <c r="A19" s="40" t="s">
        <v>11</v>
      </c>
      <c r="B19" s="102" t="s">
        <v>172</v>
      </c>
      <c r="C19" s="36">
        <v>10671</v>
      </c>
      <c r="D19" s="36">
        <f t="shared" si="0"/>
        <v>10671</v>
      </c>
      <c r="E19" s="89" t="str">
        <f t="shared" si="1"/>
        <v>-</v>
      </c>
      <c r="F19" s="90">
        <f t="shared" si="2"/>
        <v>1</v>
      </c>
    </row>
    <row r="20" spans="1:6" ht="31.5" customHeight="1">
      <c r="A20" s="40" t="s">
        <v>12</v>
      </c>
      <c r="B20" s="102" t="s">
        <v>173</v>
      </c>
      <c r="C20" s="36">
        <v>86789</v>
      </c>
      <c r="D20" s="36">
        <f t="shared" si="0"/>
        <v>86789</v>
      </c>
      <c r="E20" s="89" t="str">
        <f t="shared" si="1"/>
        <v>-</v>
      </c>
      <c r="F20" s="90">
        <f t="shared" si="2"/>
        <v>1</v>
      </c>
    </row>
    <row r="21" spans="1:6" ht="31.5" customHeight="1">
      <c r="A21" s="40" t="s">
        <v>14</v>
      </c>
      <c r="B21" s="46" t="s">
        <v>13</v>
      </c>
      <c r="C21" s="36">
        <v>39000</v>
      </c>
      <c r="D21" s="36">
        <f t="shared" si="0"/>
        <v>39000</v>
      </c>
      <c r="E21" s="89" t="str">
        <f t="shared" si="1"/>
        <v>-</v>
      </c>
      <c r="F21" s="90">
        <f t="shared" si="2"/>
        <v>1</v>
      </c>
    </row>
    <row r="22" spans="1:6" ht="31.5" customHeight="1">
      <c r="A22" s="41" t="s">
        <v>15</v>
      </c>
      <c r="B22" s="102" t="s">
        <v>175</v>
      </c>
      <c r="C22" s="36">
        <v>587712</v>
      </c>
      <c r="D22" s="36">
        <f t="shared" si="0"/>
        <v>587712</v>
      </c>
      <c r="E22" s="89" t="str">
        <f t="shared" si="1"/>
        <v>-</v>
      </c>
      <c r="F22" s="90">
        <f t="shared" si="2"/>
        <v>1</v>
      </c>
    </row>
    <row r="23" spans="1:6" ht="31.5" customHeight="1">
      <c r="A23" s="39" t="s">
        <v>180</v>
      </c>
      <c r="B23" s="45" t="s">
        <v>66</v>
      </c>
      <c r="C23" s="36">
        <v>478</v>
      </c>
      <c r="D23" s="36">
        <f t="shared" si="0"/>
        <v>478</v>
      </c>
      <c r="E23" s="89" t="str">
        <f t="shared" si="1"/>
        <v>-</v>
      </c>
      <c r="F23" s="90">
        <f t="shared" si="2"/>
        <v>1</v>
      </c>
    </row>
    <row r="24" spans="1:6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</row>
    <row r="25" spans="1:6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</row>
    <row r="26" spans="1:6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</row>
    <row r="27" spans="1:6" ht="33" customHeight="1">
      <c r="A27" s="42" t="s">
        <v>139</v>
      </c>
      <c r="B27" s="48" t="s">
        <v>142</v>
      </c>
      <c r="C27" s="36">
        <v>5000</v>
      </c>
      <c r="D27" s="36">
        <f>C27</f>
        <v>5000</v>
      </c>
      <c r="E27" s="89" t="str">
        <f>IF(C27=D27,"-",D27-C27)</f>
        <v>-</v>
      </c>
      <c r="F27" s="90">
        <f>IF(C27=0,"-",D27/C27)</f>
        <v>1</v>
      </c>
    </row>
    <row r="28" spans="1:6" s="5" customFormat="1" ht="31.5" customHeight="1">
      <c r="A28" s="43" t="s">
        <v>68</v>
      </c>
      <c r="B28" s="49" t="s">
        <v>69</v>
      </c>
      <c r="C28" s="35">
        <v>0</v>
      </c>
      <c r="D28" s="36">
        <f t="shared" si="0"/>
        <v>0</v>
      </c>
      <c r="E28" s="89" t="str">
        <f t="shared" si="1"/>
        <v>-</v>
      </c>
      <c r="F28" s="90" t="str">
        <f t="shared" si="2"/>
        <v>-</v>
      </c>
    </row>
    <row r="29" spans="1:6" s="5" customFormat="1" ht="31.5" customHeight="1">
      <c r="A29" s="43" t="s">
        <v>67</v>
      </c>
      <c r="B29" s="49" t="s">
        <v>70</v>
      </c>
      <c r="C29" s="35">
        <v>113002</v>
      </c>
      <c r="D29" s="36">
        <f>C29</f>
        <v>113002</v>
      </c>
      <c r="E29" s="89" t="str">
        <f t="shared" si="1"/>
        <v>-</v>
      </c>
      <c r="F29" s="90">
        <f t="shared" si="2"/>
        <v>1</v>
      </c>
    </row>
    <row r="30" spans="1:6" s="3" customFormat="1" ht="30" customHeight="1">
      <c r="A30" s="37" t="s">
        <v>17</v>
      </c>
      <c r="B30" s="57" t="s">
        <v>18</v>
      </c>
      <c r="C30" s="34">
        <f>C31+C32+C33+C41+C42+C48+C49+C50+C47</f>
        <v>25913</v>
      </c>
      <c r="D30" s="34">
        <f>D31+D32+D33+D41+D42+D48+D49+D50+D47</f>
        <v>25913</v>
      </c>
      <c r="E30" s="13" t="str">
        <f>IF(C30=D30,"-",D30-C30)</f>
        <v>-</v>
      </c>
      <c r="F30" s="91">
        <f t="shared" si="2"/>
        <v>1</v>
      </c>
    </row>
    <row r="31" spans="1:6" ht="28.5" customHeight="1">
      <c r="A31" s="42" t="s">
        <v>19</v>
      </c>
      <c r="B31" s="51" t="s">
        <v>20</v>
      </c>
      <c r="C31" s="35">
        <v>882</v>
      </c>
      <c r="D31" s="35">
        <f>C31</f>
        <v>882</v>
      </c>
      <c r="E31" s="89" t="str">
        <f aca="true" t="shared" si="3" ref="E31:E51">IF(C31=D31,"-",D31-C31)</f>
        <v>-</v>
      </c>
      <c r="F31" s="90">
        <f t="shared" si="2"/>
        <v>1</v>
      </c>
    </row>
    <row r="32" spans="1:6" ht="28.5" customHeight="1">
      <c r="A32" s="42" t="s">
        <v>21</v>
      </c>
      <c r="B32" s="51" t="s">
        <v>22</v>
      </c>
      <c r="C32" s="35">
        <v>3532</v>
      </c>
      <c r="D32" s="35">
        <f>C32</f>
        <v>3532</v>
      </c>
      <c r="E32" s="89" t="str">
        <f t="shared" si="3"/>
        <v>-</v>
      </c>
      <c r="F32" s="90">
        <f t="shared" si="2"/>
        <v>1</v>
      </c>
    </row>
    <row r="33" spans="1:6" ht="28.5" customHeight="1">
      <c r="A33" s="42" t="s">
        <v>23</v>
      </c>
      <c r="B33" s="52" t="s">
        <v>37</v>
      </c>
      <c r="C33" s="35">
        <f>C34+C36+C37+C38+C39+C40</f>
        <v>283</v>
      </c>
      <c r="D33" s="35">
        <f>D34+D36+D37+D38+D39+D40</f>
        <v>283</v>
      </c>
      <c r="E33" s="89" t="str">
        <f t="shared" si="3"/>
        <v>-</v>
      </c>
      <c r="F33" s="90">
        <f t="shared" si="2"/>
        <v>1</v>
      </c>
    </row>
    <row r="34" spans="1:6" ht="28.5" customHeight="1">
      <c r="A34" s="53" t="s">
        <v>45</v>
      </c>
      <c r="B34" s="54" t="s">
        <v>38</v>
      </c>
      <c r="C34" s="35">
        <v>10</v>
      </c>
      <c r="D34" s="35">
        <f>C34</f>
        <v>10</v>
      </c>
      <c r="E34" s="89" t="str">
        <f t="shared" si="3"/>
        <v>-</v>
      </c>
      <c r="F34" s="90">
        <f t="shared" si="2"/>
        <v>1</v>
      </c>
    </row>
    <row r="35" spans="1:6" ht="28.5" customHeight="1">
      <c r="A35" s="53" t="s">
        <v>46</v>
      </c>
      <c r="B35" s="55" t="s">
        <v>39</v>
      </c>
      <c r="C35" s="35">
        <v>10</v>
      </c>
      <c r="D35" s="35">
        <f aca="true" t="shared" si="4" ref="D35:D47">C35</f>
        <v>10</v>
      </c>
      <c r="E35" s="89" t="str">
        <f t="shared" si="3"/>
        <v>-</v>
      </c>
      <c r="F35" s="90">
        <f t="shared" si="2"/>
        <v>1</v>
      </c>
    </row>
    <row r="36" spans="1:6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</row>
    <row r="37" spans="1:6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</row>
    <row r="38" spans="1:6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</row>
    <row r="39" spans="1:6" ht="28.5" customHeight="1">
      <c r="A39" s="53" t="s">
        <v>50</v>
      </c>
      <c r="B39" s="54" t="s">
        <v>43</v>
      </c>
      <c r="C39" s="35">
        <v>270</v>
      </c>
      <c r="D39" s="35">
        <f t="shared" si="4"/>
        <v>270</v>
      </c>
      <c r="E39" s="89" t="str">
        <f t="shared" si="3"/>
        <v>-</v>
      </c>
      <c r="F39" s="90">
        <f t="shared" si="2"/>
        <v>1</v>
      </c>
    </row>
    <row r="40" spans="1:6" ht="28.5" customHeight="1">
      <c r="A40" s="53" t="s">
        <v>51</v>
      </c>
      <c r="B40" s="54" t="s">
        <v>44</v>
      </c>
      <c r="C40" s="35">
        <v>3</v>
      </c>
      <c r="D40" s="35">
        <f t="shared" si="4"/>
        <v>3</v>
      </c>
      <c r="E40" s="89" t="str">
        <f t="shared" si="3"/>
        <v>-</v>
      </c>
      <c r="F40" s="90">
        <f t="shared" si="2"/>
        <v>1</v>
      </c>
    </row>
    <row r="41" spans="1:6" ht="28.5" customHeight="1">
      <c r="A41" s="42" t="s">
        <v>24</v>
      </c>
      <c r="B41" s="51" t="s">
        <v>25</v>
      </c>
      <c r="C41" s="35">
        <v>16200</v>
      </c>
      <c r="D41" s="35">
        <f t="shared" si="4"/>
        <v>16200</v>
      </c>
      <c r="E41" s="89" t="str">
        <f t="shared" si="3"/>
        <v>-</v>
      </c>
      <c r="F41" s="90">
        <f t="shared" si="2"/>
        <v>1</v>
      </c>
    </row>
    <row r="42" spans="1:6" ht="28.5" customHeight="1">
      <c r="A42" s="42" t="s">
        <v>26</v>
      </c>
      <c r="B42" s="52" t="s">
        <v>61</v>
      </c>
      <c r="C42" s="35">
        <f>SUM(C43:C46)</f>
        <v>3270</v>
      </c>
      <c r="D42" s="35">
        <f>SUM(D43:D46)</f>
        <v>3270</v>
      </c>
      <c r="E42" s="89" t="str">
        <f t="shared" si="3"/>
        <v>-</v>
      </c>
      <c r="F42" s="90">
        <f t="shared" si="2"/>
        <v>1</v>
      </c>
    </row>
    <row r="43" spans="1:6" ht="28.5" customHeight="1">
      <c r="A43" s="53" t="s">
        <v>56</v>
      </c>
      <c r="B43" s="54" t="s">
        <v>52</v>
      </c>
      <c r="C43" s="35">
        <v>2461</v>
      </c>
      <c r="D43" s="35">
        <f>C43</f>
        <v>2461</v>
      </c>
      <c r="E43" s="89" t="str">
        <f t="shared" si="3"/>
        <v>-</v>
      </c>
      <c r="F43" s="90">
        <f t="shared" si="2"/>
        <v>1</v>
      </c>
    </row>
    <row r="44" spans="1:6" ht="28.5" customHeight="1">
      <c r="A44" s="53" t="s">
        <v>57</v>
      </c>
      <c r="B44" s="54" t="s">
        <v>53</v>
      </c>
      <c r="C44" s="35">
        <v>397</v>
      </c>
      <c r="D44" s="35">
        <f>C44</f>
        <v>397</v>
      </c>
      <c r="E44" s="89" t="str">
        <f t="shared" si="3"/>
        <v>-</v>
      </c>
      <c r="F44" s="90">
        <f t="shared" si="2"/>
        <v>1</v>
      </c>
    </row>
    <row r="45" spans="1:6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</row>
    <row r="46" spans="1:6" ht="28.5" customHeight="1">
      <c r="A46" s="53" t="s">
        <v>59</v>
      </c>
      <c r="B46" s="54" t="s">
        <v>55</v>
      </c>
      <c r="C46" s="35">
        <v>412</v>
      </c>
      <c r="D46" s="35">
        <f>C46</f>
        <v>412</v>
      </c>
      <c r="E46" s="89" t="str">
        <f t="shared" si="3"/>
        <v>-</v>
      </c>
      <c r="F46" s="90">
        <f t="shared" si="2"/>
        <v>1</v>
      </c>
    </row>
    <row r="47" spans="1:6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</row>
    <row r="48" spans="1:6" ht="48" customHeight="1">
      <c r="A48" s="42" t="s">
        <v>29</v>
      </c>
      <c r="B48" s="51" t="s">
        <v>116</v>
      </c>
      <c r="C48" s="36">
        <v>1381</v>
      </c>
      <c r="D48" s="35">
        <f>C48</f>
        <v>1381</v>
      </c>
      <c r="E48" s="89" t="str">
        <f t="shared" si="3"/>
        <v>-</v>
      </c>
      <c r="F48" s="92">
        <f t="shared" si="5"/>
        <v>1</v>
      </c>
    </row>
    <row r="49" spans="1:6" ht="43.5" customHeight="1">
      <c r="A49" s="42" t="s">
        <v>30</v>
      </c>
      <c r="B49" s="51" t="s">
        <v>31</v>
      </c>
      <c r="C49" s="36">
        <v>212</v>
      </c>
      <c r="D49" s="35">
        <f>C49</f>
        <v>212</v>
      </c>
      <c r="E49" s="89" t="str">
        <f t="shared" si="3"/>
        <v>-</v>
      </c>
      <c r="F49" s="92">
        <f t="shared" si="5"/>
        <v>1</v>
      </c>
    </row>
    <row r="50" spans="1:6" ht="35.25" customHeight="1">
      <c r="A50" s="42" t="s">
        <v>32</v>
      </c>
      <c r="B50" s="51" t="s">
        <v>33</v>
      </c>
      <c r="C50" s="35">
        <v>153</v>
      </c>
      <c r="D50" s="35">
        <f>C50</f>
        <v>153</v>
      </c>
      <c r="E50" s="89" t="str">
        <f t="shared" si="3"/>
        <v>-</v>
      </c>
      <c r="F50" s="90">
        <f t="shared" si="5"/>
        <v>1</v>
      </c>
    </row>
    <row r="51" spans="1:6" s="3" customFormat="1" ht="30" customHeight="1">
      <c r="A51" s="44" t="s">
        <v>34</v>
      </c>
      <c r="B51" s="56" t="s">
        <v>176</v>
      </c>
      <c r="C51" s="38">
        <v>15630</v>
      </c>
      <c r="D51" s="38">
        <f>SUM(D52:D55)</f>
        <v>7414</v>
      </c>
      <c r="E51" s="13">
        <f t="shared" si="3"/>
        <v>-8216</v>
      </c>
      <c r="F51" s="93">
        <f t="shared" si="5"/>
        <v>0.4743</v>
      </c>
    </row>
    <row r="52" spans="1:6" ht="42" customHeight="1">
      <c r="A52" s="42" t="s">
        <v>119</v>
      </c>
      <c r="B52" s="51" t="s">
        <v>144</v>
      </c>
      <c r="C52" s="35">
        <v>617</v>
      </c>
      <c r="D52" s="35">
        <f>C52-590</f>
        <v>27</v>
      </c>
      <c r="E52" s="94">
        <f>IF(C52=D52,"-",D52-C52)</f>
        <v>-590</v>
      </c>
      <c r="F52" s="100">
        <f t="shared" si="5"/>
        <v>0.0438</v>
      </c>
    </row>
    <row r="53" spans="1:6" ht="31.5" customHeight="1">
      <c r="A53" s="42" t="s">
        <v>35</v>
      </c>
      <c r="B53" s="51" t="s">
        <v>63</v>
      </c>
      <c r="C53" s="35">
        <v>14213</v>
      </c>
      <c r="D53" s="35">
        <f>C53-8226</f>
        <v>5987</v>
      </c>
      <c r="E53" s="94">
        <f>IF(C53=D53,"-",D53-C53)</f>
        <v>-8226</v>
      </c>
      <c r="F53" s="100">
        <f t="shared" si="5"/>
        <v>0.4212</v>
      </c>
    </row>
    <row r="54" spans="1:6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</row>
    <row r="55" spans="1:6" ht="31.5" customHeight="1">
      <c r="A55" s="42" t="s">
        <v>120</v>
      </c>
      <c r="B55" s="51" t="s">
        <v>122</v>
      </c>
      <c r="C55" s="35">
        <v>800</v>
      </c>
      <c r="D55" s="35">
        <f>C55+600</f>
        <v>1400</v>
      </c>
      <c r="E55" s="94">
        <f>IF(C55=D55,"-",D55-C55)</f>
        <v>600</v>
      </c>
      <c r="F55" s="100">
        <f t="shared" si="5"/>
        <v>1.75</v>
      </c>
    </row>
    <row r="56" spans="1:6" ht="32.25" customHeight="1">
      <c r="A56" s="44" t="s">
        <v>127</v>
      </c>
      <c r="B56" s="56" t="s">
        <v>155</v>
      </c>
      <c r="C56" s="38">
        <v>274</v>
      </c>
      <c r="D56" s="38">
        <f>C56+3317</f>
        <v>3591</v>
      </c>
      <c r="E56" s="13">
        <f>IF(C56=D56,"-",D56-C56)</f>
        <v>3317</v>
      </c>
      <c r="F56" s="93">
        <f>IF(C56=0,"-",D56/C56)</f>
        <v>13.1058</v>
      </c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1"/>
  <sheetViews>
    <sheetView showGridLines="0" tabSelected="1" zoomScale="55" zoomScaleNormal="55" zoomScaleSheetLayoutView="55" zoomScalePageLayoutView="0" workbookViewId="0" topLeftCell="A1">
      <pane xSplit="1" ySplit="7" topLeftCell="B4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K87" sqref="K87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5" width="20.75390625" style="2" customWidth="1"/>
    <col min="6" max="6" width="22.25390625" style="2" customWidth="1"/>
    <col min="7" max="16384" width="9.125" style="2" customWidth="1"/>
  </cols>
  <sheetData>
    <row r="1" spans="1:6" s="59" customFormat="1" ht="38.25" customHeight="1">
      <c r="A1" s="206" t="str">
        <f>NFZ!A1</f>
        <v>ZMIANA PLANU FINANSOWEGO NARODOWEGO FUNDUSZU ZDROWIA NA 2009 ROK Z DNIA 17 GRUDNIA 2009 R.</v>
      </c>
      <c r="B1" s="206"/>
      <c r="C1" s="206"/>
      <c r="D1" s="206"/>
      <c r="E1" s="206"/>
      <c r="F1" s="206"/>
    </row>
    <row r="2" spans="1:3" s="61" customFormat="1" ht="33" customHeight="1">
      <c r="A2" s="207" t="s">
        <v>76</v>
      </c>
      <c r="B2" s="207"/>
      <c r="C2" s="20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34" s="6" customFormat="1" ht="33" customHeight="1">
      <c r="A4" s="209" t="s">
        <v>166</v>
      </c>
      <c r="B4" s="208" t="s">
        <v>62</v>
      </c>
      <c r="C4" s="204" t="s">
        <v>165</v>
      </c>
      <c r="D4" s="201" t="s">
        <v>159</v>
      </c>
      <c r="E4" s="203" t="s">
        <v>164</v>
      </c>
      <c r="F4" s="203" t="s">
        <v>163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s="6" customFormat="1" ht="33" customHeight="1">
      <c r="A5" s="208"/>
      <c r="B5" s="208"/>
      <c r="C5" s="205"/>
      <c r="D5" s="202"/>
      <c r="E5" s="203"/>
      <c r="F5" s="203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s="4" customFormat="1" ht="14.25">
      <c r="A6" s="31">
        <v>1</v>
      </c>
      <c r="B6" s="32">
        <v>2</v>
      </c>
      <c r="C6" s="32" t="s">
        <v>87</v>
      </c>
      <c r="D6" s="32" t="s">
        <v>160</v>
      </c>
      <c r="E6" s="32" t="s">
        <v>161</v>
      </c>
      <c r="F6" s="32" t="s">
        <v>162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s="3" customFormat="1" ht="30" customHeight="1">
      <c r="A7" s="33" t="s">
        <v>0</v>
      </c>
      <c r="B7" s="50" t="s">
        <v>143</v>
      </c>
      <c r="C7" s="16">
        <f>C8+C9+C10+C12+C13+C14+C15+C16+C17+C18+C19+C20+C21+C22+C24+C25+C26+C27</f>
        <v>4538881</v>
      </c>
      <c r="D7" s="16">
        <f>D8+D9+D10+D12+D13+D14+D15+D16+D17+D18+D19+D20+D21+D22+D24+D25+D26+D27</f>
        <v>4538881</v>
      </c>
      <c r="E7" s="13" t="str">
        <f>IF(C7=D7,"-",D7-C7)</f>
        <v>-</v>
      </c>
      <c r="F7" s="88">
        <f>IF(C7=0,"-",D7/C7)</f>
        <v>1</v>
      </c>
      <c r="G7" s="2"/>
      <c r="H7" s="11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8" ht="31.5" customHeight="1">
      <c r="A8" s="40" t="s">
        <v>1</v>
      </c>
      <c r="B8" s="102" t="s">
        <v>167</v>
      </c>
      <c r="C8" s="36">
        <v>612510</v>
      </c>
      <c r="D8" s="36">
        <f aca="true" t="shared" si="0" ref="D8:D26">C8</f>
        <v>612510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16"/>
    </row>
    <row r="9" spans="1:8" ht="31.5" customHeight="1">
      <c r="A9" s="40" t="s">
        <v>2</v>
      </c>
      <c r="B9" s="102" t="s">
        <v>168</v>
      </c>
      <c r="C9" s="36">
        <v>339549</v>
      </c>
      <c r="D9" s="36">
        <f t="shared" si="0"/>
        <v>339549</v>
      </c>
      <c r="E9" s="89" t="str">
        <f t="shared" si="1"/>
        <v>-</v>
      </c>
      <c r="F9" s="90">
        <f t="shared" si="2"/>
        <v>1</v>
      </c>
      <c r="H9" s="116"/>
    </row>
    <row r="10" spans="1:8" ht="31.5" customHeight="1">
      <c r="A10" s="40" t="s">
        <v>3</v>
      </c>
      <c r="B10" s="102" t="s">
        <v>158</v>
      </c>
      <c r="C10" s="36">
        <v>2073384</v>
      </c>
      <c r="D10" s="36">
        <f t="shared" si="0"/>
        <v>2073384</v>
      </c>
      <c r="E10" s="89" t="str">
        <f t="shared" si="1"/>
        <v>-</v>
      </c>
      <c r="F10" s="90">
        <f t="shared" si="2"/>
        <v>1</v>
      </c>
      <c r="H10" s="116"/>
    </row>
    <row r="11" spans="1:8" ht="31.5" customHeight="1">
      <c r="A11" s="103" t="s">
        <v>64</v>
      </c>
      <c r="B11" s="45" t="s">
        <v>65</v>
      </c>
      <c r="C11" s="36">
        <v>114412</v>
      </c>
      <c r="D11" s="36">
        <f t="shared" si="0"/>
        <v>114412</v>
      </c>
      <c r="E11" s="89" t="str">
        <f t="shared" si="1"/>
        <v>-</v>
      </c>
      <c r="F11" s="90">
        <f t="shared" si="2"/>
        <v>1</v>
      </c>
      <c r="H11" s="116"/>
    </row>
    <row r="12" spans="1:8" ht="31.5" customHeight="1">
      <c r="A12" s="40" t="s">
        <v>4</v>
      </c>
      <c r="B12" s="102" t="s">
        <v>174</v>
      </c>
      <c r="C12" s="36">
        <v>134334</v>
      </c>
      <c r="D12" s="36">
        <f t="shared" si="0"/>
        <v>134334</v>
      </c>
      <c r="E12" s="89" t="str">
        <f t="shared" si="1"/>
        <v>-</v>
      </c>
      <c r="F12" s="90">
        <f t="shared" si="2"/>
        <v>1</v>
      </c>
      <c r="H12" s="116"/>
    </row>
    <row r="13" spans="1:8" ht="31.5" customHeight="1">
      <c r="A13" s="40" t="s">
        <v>5</v>
      </c>
      <c r="B13" s="102" t="s">
        <v>169</v>
      </c>
      <c r="C13" s="36">
        <v>147429</v>
      </c>
      <c r="D13" s="36">
        <f t="shared" si="0"/>
        <v>147429</v>
      </c>
      <c r="E13" s="89" t="str">
        <f t="shared" si="1"/>
        <v>-</v>
      </c>
      <c r="F13" s="90">
        <f t="shared" si="2"/>
        <v>1</v>
      </c>
      <c r="H13" s="116"/>
    </row>
    <row r="14" spans="1:8" ht="31.5" customHeight="1">
      <c r="A14" s="40" t="s">
        <v>6</v>
      </c>
      <c r="B14" s="102" t="s">
        <v>178</v>
      </c>
      <c r="C14" s="36">
        <v>94453</v>
      </c>
      <c r="D14" s="36">
        <f t="shared" si="0"/>
        <v>94453</v>
      </c>
      <c r="E14" s="89" t="str">
        <f t="shared" si="1"/>
        <v>-</v>
      </c>
      <c r="F14" s="90">
        <f t="shared" si="2"/>
        <v>1</v>
      </c>
      <c r="H14" s="116"/>
    </row>
    <row r="15" spans="1:8" ht="31.5" customHeight="1">
      <c r="A15" s="40" t="s">
        <v>7</v>
      </c>
      <c r="B15" s="102" t="s">
        <v>177</v>
      </c>
      <c r="C15" s="36">
        <v>19993</v>
      </c>
      <c r="D15" s="36">
        <f t="shared" si="0"/>
        <v>19993</v>
      </c>
      <c r="E15" s="89" t="str">
        <f>IF(C15=D15,"-",D15-C15)</f>
        <v>-</v>
      </c>
      <c r="F15" s="90">
        <f>IF(C15=0,"-",D15/C15)</f>
        <v>1</v>
      </c>
      <c r="H15" s="116"/>
    </row>
    <row r="16" spans="1:8" ht="31.5" customHeight="1">
      <c r="A16" s="40" t="s">
        <v>8</v>
      </c>
      <c r="B16" s="102" t="s">
        <v>170</v>
      </c>
      <c r="C16" s="36">
        <v>183292</v>
      </c>
      <c r="D16" s="36">
        <f t="shared" si="0"/>
        <v>183292</v>
      </c>
      <c r="E16" s="89" t="str">
        <f t="shared" si="1"/>
        <v>-</v>
      </c>
      <c r="F16" s="90">
        <f t="shared" si="2"/>
        <v>1</v>
      </c>
      <c r="H16" s="116"/>
    </row>
    <row r="17" spans="1:8" ht="31.5" customHeight="1">
      <c r="A17" s="40" t="s">
        <v>9</v>
      </c>
      <c r="B17" s="102" t="s">
        <v>171</v>
      </c>
      <c r="C17" s="36">
        <v>51129</v>
      </c>
      <c r="D17" s="36">
        <f t="shared" si="0"/>
        <v>51129</v>
      </c>
      <c r="E17" s="89" t="str">
        <f t="shared" si="1"/>
        <v>-</v>
      </c>
      <c r="F17" s="90">
        <f t="shared" si="2"/>
        <v>1</v>
      </c>
      <c r="H17" s="116"/>
    </row>
    <row r="18" spans="1:8" ht="31.5" customHeight="1">
      <c r="A18" s="40" t="s">
        <v>10</v>
      </c>
      <c r="B18" s="102" t="s">
        <v>179</v>
      </c>
      <c r="C18" s="36">
        <v>1751</v>
      </c>
      <c r="D18" s="36">
        <f t="shared" si="0"/>
        <v>1751</v>
      </c>
      <c r="E18" s="89" t="str">
        <f t="shared" si="1"/>
        <v>-</v>
      </c>
      <c r="F18" s="90">
        <f t="shared" si="2"/>
        <v>1</v>
      </c>
      <c r="H18" s="116"/>
    </row>
    <row r="19" spans="1:8" ht="46.5" customHeight="1">
      <c r="A19" s="40" t="s">
        <v>11</v>
      </c>
      <c r="B19" s="102" t="s">
        <v>172</v>
      </c>
      <c r="C19" s="36">
        <v>7650</v>
      </c>
      <c r="D19" s="36">
        <f t="shared" si="0"/>
        <v>7650</v>
      </c>
      <c r="E19" s="89" t="str">
        <f t="shared" si="1"/>
        <v>-</v>
      </c>
      <c r="F19" s="90">
        <f t="shared" si="2"/>
        <v>1</v>
      </c>
      <c r="H19" s="116"/>
    </row>
    <row r="20" spans="1:8" ht="31.5" customHeight="1">
      <c r="A20" s="40" t="s">
        <v>12</v>
      </c>
      <c r="B20" s="102" t="s">
        <v>173</v>
      </c>
      <c r="C20" s="36">
        <v>115821</v>
      </c>
      <c r="D20" s="36">
        <f t="shared" si="0"/>
        <v>115821</v>
      </c>
      <c r="E20" s="89" t="str">
        <f t="shared" si="1"/>
        <v>-</v>
      </c>
      <c r="F20" s="90">
        <f t="shared" si="2"/>
        <v>1</v>
      </c>
      <c r="H20" s="116"/>
    </row>
    <row r="21" spans="1:8" ht="31.5" customHeight="1">
      <c r="A21" s="40" t="s">
        <v>14</v>
      </c>
      <c r="B21" s="46" t="s">
        <v>13</v>
      </c>
      <c r="C21" s="36">
        <v>55700</v>
      </c>
      <c r="D21" s="36">
        <f t="shared" si="0"/>
        <v>55700</v>
      </c>
      <c r="E21" s="89" t="str">
        <f t="shared" si="1"/>
        <v>-</v>
      </c>
      <c r="F21" s="90">
        <f t="shared" si="2"/>
        <v>1</v>
      </c>
      <c r="H21" s="116"/>
    </row>
    <row r="22" spans="1:8" ht="31.5" customHeight="1">
      <c r="A22" s="41" t="s">
        <v>15</v>
      </c>
      <c r="B22" s="102" t="s">
        <v>175</v>
      </c>
      <c r="C22" s="36">
        <v>701886</v>
      </c>
      <c r="D22" s="36">
        <f t="shared" si="0"/>
        <v>701886</v>
      </c>
      <c r="E22" s="89" t="str">
        <f t="shared" si="1"/>
        <v>-</v>
      </c>
      <c r="F22" s="90">
        <f t="shared" si="2"/>
        <v>1</v>
      </c>
      <c r="H22" s="116"/>
    </row>
    <row r="23" spans="1:8" ht="31.5" customHeight="1">
      <c r="A23" s="39" t="s">
        <v>180</v>
      </c>
      <c r="B23" s="45" t="s">
        <v>66</v>
      </c>
      <c r="C23" s="36">
        <v>4000</v>
      </c>
      <c r="D23" s="36">
        <f t="shared" si="0"/>
        <v>4000</v>
      </c>
      <c r="E23" s="89" t="str">
        <f t="shared" si="1"/>
        <v>-</v>
      </c>
      <c r="F23" s="90">
        <f t="shared" si="2"/>
        <v>1</v>
      </c>
      <c r="H23" s="116"/>
    </row>
    <row r="24" spans="1:8" ht="33" customHeight="1">
      <c r="A24" s="42" t="s">
        <v>16</v>
      </c>
      <c r="B24" s="47" t="s">
        <v>140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  <c r="H24" s="116"/>
    </row>
    <row r="25" spans="1:8" ht="33" customHeight="1">
      <c r="A25" s="42" t="s">
        <v>137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  <c r="H25" s="116"/>
    </row>
    <row r="26" spans="1:8" ht="33" customHeight="1">
      <c r="A26" s="42" t="s">
        <v>138</v>
      </c>
      <c r="B26" s="48" t="s">
        <v>141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  <c r="H26" s="116"/>
    </row>
    <row r="27" spans="1:8" ht="33" customHeight="1">
      <c r="A27" s="42" t="s">
        <v>139</v>
      </c>
      <c r="B27" s="48" t="s">
        <v>142</v>
      </c>
      <c r="C27" s="36">
        <v>0</v>
      </c>
      <c r="D27" s="36">
        <f>C27</f>
        <v>0</v>
      </c>
      <c r="E27" s="89" t="str">
        <f>IF(C27=D27,"-",D27-C27)</f>
        <v>-</v>
      </c>
      <c r="F27" s="90" t="str">
        <f>IF(C27=0,"-",D27/C27)</f>
        <v>-</v>
      </c>
      <c r="H27" s="116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  <c r="H28" s="116"/>
    </row>
    <row r="29" spans="1:8" s="5" customFormat="1" ht="31.5" customHeight="1">
      <c r="A29" s="43" t="s">
        <v>67</v>
      </c>
      <c r="B29" s="49" t="s">
        <v>70</v>
      </c>
      <c r="C29" s="35">
        <v>129441</v>
      </c>
      <c r="D29" s="36">
        <f>C29</f>
        <v>129441</v>
      </c>
      <c r="E29" s="89" t="str">
        <f t="shared" si="1"/>
        <v>-</v>
      </c>
      <c r="F29" s="90">
        <f t="shared" si="2"/>
        <v>1</v>
      </c>
      <c r="H29" s="116"/>
    </row>
    <row r="30" spans="1:34" s="3" customFormat="1" ht="30" customHeight="1">
      <c r="A30" s="37" t="s">
        <v>17</v>
      </c>
      <c r="B30" s="57" t="s">
        <v>18</v>
      </c>
      <c r="C30" s="34">
        <f>C31+C32+C33+C41+C42+C48+C49+C50+C47</f>
        <v>32903</v>
      </c>
      <c r="D30" s="34">
        <f>D31+D32+D33+D41+D42+D48+D49+D50+D47</f>
        <v>32903</v>
      </c>
      <c r="E30" s="13" t="str">
        <f>IF(C30=D30,"-",D30-C30)</f>
        <v>-</v>
      </c>
      <c r="F30" s="91">
        <f t="shared" si="2"/>
        <v>1</v>
      </c>
      <c r="G30" s="2"/>
      <c r="H30" s="1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8" ht="28.5" customHeight="1">
      <c r="A31" s="42" t="s">
        <v>19</v>
      </c>
      <c r="B31" s="51" t="s">
        <v>20</v>
      </c>
      <c r="C31" s="35">
        <v>1235</v>
      </c>
      <c r="D31" s="35">
        <f>C31</f>
        <v>1235</v>
      </c>
      <c r="E31" s="89" t="str">
        <f aca="true" t="shared" si="3" ref="E31:E51">IF(C31=D31,"-",D31-C31)</f>
        <v>-</v>
      </c>
      <c r="F31" s="90">
        <f t="shared" si="2"/>
        <v>1</v>
      </c>
      <c r="H31" s="116"/>
    </row>
    <row r="32" spans="1:8" ht="28.5" customHeight="1">
      <c r="A32" s="42" t="s">
        <v>21</v>
      </c>
      <c r="B32" s="51" t="s">
        <v>22</v>
      </c>
      <c r="C32" s="35">
        <v>3434</v>
      </c>
      <c r="D32" s="35">
        <f>C32</f>
        <v>3434</v>
      </c>
      <c r="E32" s="89" t="str">
        <f t="shared" si="3"/>
        <v>-</v>
      </c>
      <c r="F32" s="90">
        <f t="shared" si="2"/>
        <v>1</v>
      </c>
      <c r="H32" s="116"/>
    </row>
    <row r="33" spans="1:8" ht="28.5" customHeight="1">
      <c r="A33" s="42" t="s">
        <v>23</v>
      </c>
      <c r="B33" s="52" t="s">
        <v>37</v>
      </c>
      <c r="C33" s="35">
        <f>C34+C36+C37+C38+C39+C40</f>
        <v>216</v>
      </c>
      <c r="D33" s="35">
        <f>D34+D36+D37+D38+D39+D40</f>
        <v>216</v>
      </c>
      <c r="E33" s="89" t="str">
        <f t="shared" si="3"/>
        <v>-</v>
      </c>
      <c r="F33" s="90">
        <f t="shared" si="2"/>
        <v>1</v>
      </c>
      <c r="H33" s="116"/>
    </row>
    <row r="34" spans="1:8" ht="28.5" customHeight="1">
      <c r="A34" s="53" t="s">
        <v>45</v>
      </c>
      <c r="B34" s="54" t="s">
        <v>38</v>
      </c>
      <c r="C34" s="35">
        <v>20</v>
      </c>
      <c r="D34" s="35">
        <f>C34</f>
        <v>20</v>
      </c>
      <c r="E34" s="89" t="str">
        <f t="shared" si="3"/>
        <v>-</v>
      </c>
      <c r="F34" s="90">
        <f t="shared" si="2"/>
        <v>1</v>
      </c>
      <c r="H34" s="116"/>
    </row>
    <row r="35" spans="1:8" ht="28.5" customHeight="1">
      <c r="A35" s="53" t="s">
        <v>46</v>
      </c>
      <c r="B35" s="55" t="s">
        <v>39</v>
      </c>
      <c r="C35" s="35">
        <v>20</v>
      </c>
      <c r="D35" s="35">
        <f aca="true" t="shared" si="4" ref="D35:D47">C35</f>
        <v>20</v>
      </c>
      <c r="E35" s="89" t="str">
        <f t="shared" si="3"/>
        <v>-</v>
      </c>
      <c r="F35" s="90">
        <f t="shared" si="2"/>
        <v>1</v>
      </c>
      <c r="H35" s="116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  <c r="H36" s="116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  <c r="H37" s="116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  <c r="H38" s="116"/>
    </row>
    <row r="39" spans="1:8" ht="28.5" customHeight="1">
      <c r="A39" s="53" t="s">
        <v>50</v>
      </c>
      <c r="B39" s="54" t="s">
        <v>43</v>
      </c>
      <c r="C39" s="35">
        <v>178</v>
      </c>
      <c r="D39" s="35">
        <f t="shared" si="4"/>
        <v>178</v>
      </c>
      <c r="E39" s="89" t="str">
        <f t="shared" si="3"/>
        <v>-</v>
      </c>
      <c r="F39" s="90">
        <f t="shared" si="2"/>
        <v>1</v>
      </c>
      <c r="H39" s="116"/>
    </row>
    <row r="40" spans="1:8" ht="28.5" customHeight="1">
      <c r="A40" s="53" t="s">
        <v>51</v>
      </c>
      <c r="B40" s="54" t="s">
        <v>44</v>
      </c>
      <c r="C40" s="35">
        <v>18</v>
      </c>
      <c r="D40" s="35">
        <f t="shared" si="4"/>
        <v>18</v>
      </c>
      <c r="E40" s="89" t="str">
        <f t="shared" si="3"/>
        <v>-</v>
      </c>
      <c r="F40" s="90">
        <f t="shared" si="2"/>
        <v>1</v>
      </c>
      <c r="H40" s="116"/>
    </row>
    <row r="41" spans="1:8" ht="28.5" customHeight="1">
      <c r="A41" s="42" t="s">
        <v>24</v>
      </c>
      <c r="B41" s="51" t="s">
        <v>25</v>
      </c>
      <c r="C41" s="35">
        <v>20495</v>
      </c>
      <c r="D41" s="35">
        <f t="shared" si="4"/>
        <v>20495</v>
      </c>
      <c r="E41" s="89" t="str">
        <f t="shared" si="3"/>
        <v>-</v>
      </c>
      <c r="F41" s="90">
        <f t="shared" si="2"/>
        <v>1</v>
      </c>
      <c r="H41" s="116"/>
    </row>
    <row r="42" spans="1:8" ht="28.5" customHeight="1">
      <c r="A42" s="42" t="s">
        <v>26</v>
      </c>
      <c r="B42" s="52" t="s">
        <v>61</v>
      </c>
      <c r="C42" s="35">
        <f>SUM(C43:C46)</f>
        <v>4140</v>
      </c>
      <c r="D42" s="35">
        <f>SUM(D43:D46)</f>
        <v>4140</v>
      </c>
      <c r="E42" s="89" t="str">
        <f t="shared" si="3"/>
        <v>-</v>
      </c>
      <c r="F42" s="90">
        <f t="shared" si="2"/>
        <v>1</v>
      </c>
      <c r="H42" s="116"/>
    </row>
    <row r="43" spans="1:8" ht="28.5" customHeight="1">
      <c r="A43" s="53" t="s">
        <v>56</v>
      </c>
      <c r="B43" s="54" t="s">
        <v>52</v>
      </c>
      <c r="C43" s="35">
        <v>3113</v>
      </c>
      <c r="D43" s="35">
        <f>C43</f>
        <v>3113</v>
      </c>
      <c r="E43" s="89" t="str">
        <f t="shared" si="3"/>
        <v>-</v>
      </c>
      <c r="F43" s="90">
        <f t="shared" si="2"/>
        <v>1</v>
      </c>
      <c r="H43" s="116"/>
    </row>
    <row r="44" spans="1:8" ht="28.5" customHeight="1">
      <c r="A44" s="53" t="s">
        <v>57</v>
      </c>
      <c r="B44" s="54" t="s">
        <v>53</v>
      </c>
      <c r="C44" s="35">
        <v>502</v>
      </c>
      <c r="D44" s="35">
        <f>C44</f>
        <v>502</v>
      </c>
      <c r="E44" s="89" t="str">
        <f t="shared" si="3"/>
        <v>-</v>
      </c>
      <c r="F44" s="90">
        <f t="shared" si="2"/>
        <v>1</v>
      </c>
      <c r="H44" s="116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  <c r="H45" s="116"/>
    </row>
    <row r="46" spans="1:8" ht="28.5" customHeight="1">
      <c r="A46" s="53" t="s">
        <v>59</v>
      </c>
      <c r="B46" s="54" t="s">
        <v>55</v>
      </c>
      <c r="C46" s="35">
        <v>525</v>
      </c>
      <c r="D46" s="35">
        <f>C46</f>
        <v>525</v>
      </c>
      <c r="E46" s="89" t="str">
        <f t="shared" si="3"/>
        <v>-</v>
      </c>
      <c r="F46" s="90">
        <f t="shared" si="2"/>
        <v>1</v>
      </c>
      <c r="H46" s="116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16"/>
    </row>
    <row r="48" spans="1:8" ht="48" customHeight="1">
      <c r="A48" s="42" t="s">
        <v>29</v>
      </c>
      <c r="B48" s="51" t="s">
        <v>116</v>
      </c>
      <c r="C48" s="36">
        <v>2780</v>
      </c>
      <c r="D48" s="35">
        <f>C48</f>
        <v>2780</v>
      </c>
      <c r="E48" s="89" t="str">
        <f t="shared" si="3"/>
        <v>-</v>
      </c>
      <c r="F48" s="92">
        <f t="shared" si="5"/>
        <v>1</v>
      </c>
      <c r="H48" s="116"/>
    </row>
    <row r="49" spans="1:8" ht="43.5" customHeight="1">
      <c r="A49" s="42" t="s">
        <v>30</v>
      </c>
      <c r="B49" s="51" t="s">
        <v>31</v>
      </c>
      <c r="C49" s="36">
        <v>280</v>
      </c>
      <c r="D49" s="35">
        <f>C49</f>
        <v>280</v>
      </c>
      <c r="E49" s="89" t="str">
        <f t="shared" si="3"/>
        <v>-</v>
      </c>
      <c r="F49" s="92">
        <f t="shared" si="5"/>
        <v>1</v>
      </c>
      <c r="H49" s="116"/>
    </row>
    <row r="50" spans="1:8" ht="35.25" customHeight="1">
      <c r="A50" s="42" t="s">
        <v>32</v>
      </c>
      <c r="B50" s="51" t="s">
        <v>33</v>
      </c>
      <c r="C50" s="35">
        <v>323</v>
      </c>
      <c r="D50" s="35">
        <f>C50</f>
        <v>323</v>
      </c>
      <c r="E50" s="89" t="str">
        <f t="shared" si="3"/>
        <v>-</v>
      </c>
      <c r="F50" s="90">
        <f t="shared" si="5"/>
        <v>1</v>
      </c>
      <c r="H50" s="116"/>
    </row>
    <row r="51" spans="1:34" s="3" customFormat="1" ht="30" customHeight="1">
      <c r="A51" s="44" t="s">
        <v>34</v>
      </c>
      <c r="B51" s="56" t="s">
        <v>176</v>
      </c>
      <c r="C51" s="38">
        <v>19832</v>
      </c>
      <c r="D51" s="38">
        <f>SUM(D52:D55)</f>
        <v>13340</v>
      </c>
      <c r="E51" s="13">
        <f t="shared" si="3"/>
        <v>-6492</v>
      </c>
      <c r="F51" s="93">
        <f t="shared" si="5"/>
        <v>0.6727</v>
      </c>
      <c r="G51" s="2"/>
      <c r="H51" s="1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8" ht="42" customHeight="1">
      <c r="A52" s="42" t="s">
        <v>119</v>
      </c>
      <c r="B52" s="51" t="s">
        <v>144</v>
      </c>
      <c r="C52" s="35">
        <v>537</v>
      </c>
      <c r="D52" s="35">
        <f>C52-527</f>
        <v>10</v>
      </c>
      <c r="E52" s="94">
        <f>IF(C52=D52,"-",D52-C52)</f>
        <v>-527</v>
      </c>
      <c r="F52" s="100">
        <f t="shared" si="5"/>
        <v>0.0186</v>
      </c>
      <c r="H52" s="116"/>
    </row>
    <row r="53" spans="1:8" ht="31.5" customHeight="1">
      <c r="A53" s="42" t="s">
        <v>35</v>
      </c>
      <c r="B53" s="51" t="s">
        <v>63</v>
      </c>
      <c r="C53" s="35">
        <v>18295</v>
      </c>
      <c r="D53" s="35">
        <f>C53-5965</f>
        <v>12330</v>
      </c>
      <c r="E53" s="94">
        <f>IF(C53=D53,"-",D53-C53)</f>
        <v>-5965</v>
      </c>
      <c r="F53" s="100">
        <f t="shared" si="5"/>
        <v>0.674</v>
      </c>
      <c r="H53" s="116"/>
    </row>
    <row r="54" spans="1:8" ht="31.5" customHeight="1">
      <c r="A54" s="42" t="s">
        <v>36</v>
      </c>
      <c r="B54" s="51" t="s">
        <v>121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16"/>
    </row>
    <row r="55" spans="1:8" ht="31.5" customHeight="1">
      <c r="A55" s="42" t="s">
        <v>120</v>
      </c>
      <c r="B55" s="51" t="s">
        <v>122</v>
      </c>
      <c r="C55" s="35">
        <v>1000</v>
      </c>
      <c r="D55" s="35">
        <f>C55</f>
        <v>1000</v>
      </c>
      <c r="E55" s="94" t="str">
        <f>IF(C55=D55,"-",D55-C55)</f>
        <v>-</v>
      </c>
      <c r="F55" s="100">
        <f t="shared" si="5"/>
        <v>1</v>
      </c>
      <c r="H55" s="116"/>
    </row>
    <row r="56" spans="1:8" ht="32.25" customHeight="1">
      <c r="A56" s="44" t="s">
        <v>127</v>
      </c>
      <c r="B56" s="56" t="s">
        <v>155</v>
      </c>
      <c r="C56" s="38">
        <v>177</v>
      </c>
      <c r="D56" s="38">
        <f>C56+6463</f>
        <v>6640</v>
      </c>
      <c r="E56" s="13">
        <f>IF(C56=D56,"-",D56-C56)</f>
        <v>6463</v>
      </c>
      <c r="F56" s="93">
        <f>IF(C56=0,"-",D56/C56)</f>
        <v>37.5141</v>
      </c>
      <c r="H56" s="116"/>
    </row>
    <row r="57" ht="12.75">
      <c r="H57" s="116"/>
    </row>
    <row r="58" ht="12.75">
      <c r="H58" s="116"/>
    </row>
    <row r="59" ht="12.75">
      <c r="H59" s="116"/>
    </row>
    <row r="60" ht="12.75">
      <c r="H60" s="116"/>
    </row>
    <row r="61" ht="12.75">
      <c r="H61" s="116"/>
    </row>
    <row r="62" ht="12.75">
      <c r="H62" s="116"/>
    </row>
    <row r="63" ht="12.75">
      <c r="H63" s="116"/>
    </row>
    <row r="64" ht="12.75">
      <c r="H64" s="116"/>
    </row>
    <row r="65" ht="12.75">
      <c r="H65" s="116"/>
    </row>
    <row r="66" ht="12.75">
      <c r="H66" s="116"/>
    </row>
    <row r="67" ht="12.75">
      <c r="H67" s="116"/>
    </row>
    <row r="68" ht="12.75">
      <c r="H68" s="116"/>
    </row>
    <row r="69" ht="12.75">
      <c r="H69" s="116"/>
    </row>
    <row r="70" ht="12.75">
      <c r="H70" s="116"/>
    </row>
    <row r="71" ht="12.75">
      <c r="H71" s="116"/>
    </row>
    <row r="72" ht="12.75">
      <c r="H72" s="116"/>
    </row>
    <row r="73" ht="12.75">
      <c r="H73" s="116"/>
    </row>
    <row r="74" ht="12.75">
      <c r="H74" s="116"/>
    </row>
    <row r="75" ht="12.75">
      <c r="H75" s="116"/>
    </row>
    <row r="76" ht="12.75">
      <c r="H76" s="116"/>
    </row>
    <row r="77" ht="12.75">
      <c r="H77" s="116"/>
    </row>
    <row r="78" ht="12.75">
      <c r="H78" s="116"/>
    </row>
    <row r="79" ht="12.75">
      <c r="H79" s="116"/>
    </row>
    <row r="80" ht="12.75">
      <c r="H80" s="116"/>
    </row>
    <row r="81" ht="12.75">
      <c r="H81" s="116"/>
    </row>
    <row r="82" ht="12.75">
      <c r="H82" s="116"/>
    </row>
    <row r="83" ht="12.75">
      <c r="H83" s="116"/>
    </row>
    <row r="84" ht="12.75">
      <c r="H84" s="116"/>
    </row>
    <row r="85" ht="12.75">
      <c r="H85" s="116"/>
    </row>
    <row r="86" ht="12.75">
      <c r="H86" s="116"/>
    </row>
    <row r="87" ht="12.75">
      <c r="H87" s="116"/>
    </row>
    <row r="88" ht="12.75">
      <c r="H88" s="116"/>
    </row>
    <row r="89" ht="12.75">
      <c r="H89" s="116"/>
    </row>
    <row r="90" ht="12.75">
      <c r="H90" s="116"/>
    </row>
    <row r="91" ht="12.75">
      <c r="H91" s="116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edyta.rosinska</cp:lastModifiedBy>
  <cp:lastPrinted>2009-10-29T08:01:39Z</cp:lastPrinted>
  <dcterms:created xsi:type="dcterms:W3CDTF">2005-07-21T09:51:05Z</dcterms:created>
  <dcterms:modified xsi:type="dcterms:W3CDTF">2009-12-22T09:16:43Z</dcterms:modified>
  <cp:category/>
  <cp:version/>
  <cp:contentType/>
  <cp:contentStatus/>
</cp:coreProperties>
</file>