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8250" tabRatio="910" activeTab="9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  <sheet name="zbiorczo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_C" localSheetId="19">'zbiorczo'!__C</definedName>
    <definedName name="__C">[0]!__C</definedName>
    <definedName name="_1_0_0kos" localSheetId="19">'[1]plan'!#REF!</definedName>
    <definedName name="_1_0_0kos">'[1]plan'!#REF!</definedName>
    <definedName name="_2_0_0ra" localSheetId="19">'[1]plan'!#REF!</definedName>
    <definedName name="_2_0_0ra">'[1]plan'!#REF!</definedName>
    <definedName name="_C" localSheetId="2">'Razem OW'!_C</definedName>
    <definedName name="_C" localSheetId="18">'Zachodniopomorski'!_C</definedName>
    <definedName name="_C" localSheetId="19">#N/A</definedName>
    <definedName name="_C">'Razem OW'!_C</definedName>
    <definedName name="A" localSheetId="2">'Razem OW'!A</definedName>
    <definedName name="A" localSheetId="18">'Zachodniopomorski'!A</definedName>
    <definedName name="A" localSheetId="19">#N/A</definedName>
    <definedName name="A">'Razem OW'!A</definedName>
    <definedName name="A_2" localSheetId="19">'zbiorczo'!A_2</definedName>
    <definedName name="A_2">[0]!A_2</definedName>
    <definedName name="aa" localSheetId="2">'Razem OW'!aa</definedName>
    <definedName name="aa" localSheetId="18">'Zachodniopomorski'!aa</definedName>
    <definedName name="aa" localSheetId="19">#N/A</definedName>
    <definedName name="aa">'Razem OW'!aa</definedName>
    <definedName name="aa_2" localSheetId="19">'zbiorczo'!aa_2</definedName>
    <definedName name="aa_2">[0]!aa_2</definedName>
    <definedName name="B" localSheetId="19">'zbiorczo'!B</definedName>
    <definedName name="B">[0]!B</definedName>
    <definedName name="BILANS" localSheetId="19">'[2]plan'!#REF!</definedName>
    <definedName name="BILANS">'[2]plan'!#REF!</definedName>
    <definedName name="BILANSSPZ" localSheetId="19">'[2]plan'!#REF!</definedName>
    <definedName name="BILANSSPZ">'[2]plan'!#REF!</definedName>
    <definedName name="BV" localSheetId="2">'Razem OW'!BV</definedName>
    <definedName name="BV" localSheetId="18">'Zachodniopomorski'!BV</definedName>
    <definedName name="BV" localSheetId="19">#N/A</definedName>
    <definedName name="BV">'Razem OW'!BV</definedName>
    <definedName name="cr" localSheetId="2">'Razem OW'!cr</definedName>
    <definedName name="cr" localSheetId="18">'Zachodniopomorski'!cr</definedName>
    <definedName name="cr" localSheetId="19">#N/A</definedName>
    <definedName name="cr">'Razem OW'!cr</definedName>
    <definedName name="d" localSheetId="2">'Razem OW'!d</definedName>
    <definedName name="d" localSheetId="18">'Zachodniopomorski'!d</definedName>
    <definedName name="d" localSheetId="19">#N/A</definedName>
    <definedName name="d">'Razem OW'!d</definedName>
    <definedName name="depozyty">#REF!</definedName>
    <definedName name="g" localSheetId="19">'zbiorczo'!g</definedName>
    <definedName name="g">[0]!g</definedName>
    <definedName name="koszty" localSheetId="19">'[1]plan'!#REF!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 localSheetId="19">#N/A</definedName>
    <definedName name="mn">'Razem OW'!mn</definedName>
    <definedName name="mon" localSheetId="2">'Razem OW'!mon</definedName>
    <definedName name="mon" localSheetId="18">'Zachodniopomorski'!mon</definedName>
    <definedName name="mon" localSheetId="19">#N/A</definedName>
    <definedName name="mon">'Razem OW'!mon</definedName>
    <definedName name="naleznosci">#REF!</definedName>
    <definedName name="_xlnm.Print_Area" localSheetId="1">'CENTRALA'!$A$1:$F$56</definedName>
    <definedName name="_xlnm.Print_Area" localSheetId="3">'Dolnośląski'!$A$1:$F$56</definedName>
    <definedName name="_xlnm.Print_Area" localSheetId="4">'KujawskoPomorski'!$A$1:$F$56</definedName>
    <definedName name="_xlnm.Print_Area" localSheetId="5">'Lubelski'!$A$1:$F$56</definedName>
    <definedName name="_xlnm.Print_Area" localSheetId="6">'Lubuski'!$A$1:$F$56</definedName>
    <definedName name="_xlnm.Print_Area" localSheetId="7">'Łódzki'!$A$1:$F$56</definedName>
    <definedName name="_xlnm.Print_Area" localSheetId="8">'Małopolski'!$A$1:$F$56</definedName>
    <definedName name="_xlnm.Print_Area" localSheetId="9">'Mazowiecki'!$A$1:$F$56</definedName>
    <definedName name="_xlnm.Print_Area" localSheetId="0">'NFZ'!$A$1:$F$91</definedName>
    <definedName name="_xlnm.Print_Area" localSheetId="10">'Opolski'!$A$1:$F$56</definedName>
    <definedName name="_xlnm.Print_Area" localSheetId="11">'Podkarpacki'!$A$1:$F$56</definedName>
    <definedName name="_xlnm.Print_Area" localSheetId="12">'Podlaski'!$A$1:$F$56</definedName>
    <definedName name="_xlnm.Print_Area" localSheetId="13">'Pomorski'!$A$1:$F$56</definedName>
    <definedName name="_xlnm.Print_Area" localSheetId="2">'Razem OW'!$A$1:$F$56</definedName>
    <definedName name="_xlnm.Print_Area" localSheetId="14">'Śląski'!$A$1:$F$56</definedName>
    <definedName name="_xlnm.Print_Area" localSheetId="15">'Świętokrzyski'!$A$1:$F$56</definedName>
    <definedName name="_xlnm.Print_Area" localSheetId="16">'WarmińskoMazurski'!$A$1:$F$56</definedName>
    <definedName name="_xlnm.Print_Area" localSheetId="17">'Wielkopolski'!$A$1:$F$56</definedName>
    <definedName name="_xlnm.Print_Area" localSheetId="18">'Zachodniopomorski'!$A$1:$F$56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 localSheetId="19">#N/A</definedName>
    <definedName name="rgds">'Razem OW'!rgds</definedName>
    <definedName name="_xlnm.Print_Titles" localSheetId="0">'NFZ'!$1:$6</definedName>
    <definedName name="_xlnm.Print_Titles" localSheetId="19">'zbiorczo'!$A:$B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 localSheetId="19">#N/A</definedName>
    <definedName name="za">'Razem OW'!za</definedName>
  </definedNames>
  <calcPr fullCalcOnLoad="1" fullPrecision="0"/>
</workbook>
</file>

<file path=xl/comments2.xml><?xml version="1.0" encoding="utf-8"?>
<comments xmlns="http://schemas.openxmlformats.org/spreadsheetml/2006/main">
  <authors>
    <author>marian.mackiewicz</author>
  </authors>
  <commentList>
    <comment ref="C52" authorId="0">
      <text>
        <r>
          <rPr>
            <b/>
            <sz val="14"/>
            <rFont val="Tahoma"/>
            <family val="2"/>
          </rPr>
          <t>marian.mackiewicz:</t>
        </r>
        <r>
          <rPr>
            <sz val="14"/>
            <rFont val="Tahoma"/>
            <family val="2"/>
          </rPr>
          <t xml:space="preserve">
EKUZ = 610</t>
        </r>
      </text>
    </comment>
  </commentList>
</comments>
</file>

<file path=xl/sharedStrings.xml><?xml version="1.0" encoding="utf-8"?>
<sst xmlns="http://schemas.openxmlformats.org/spreadsheetml/2006/main" count="2353" uniqueCount="242">
  <si>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</si>
  <si>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</si>
  <si>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</si>
  <si>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</si>
  <si>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</si>
  <si>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</si>
  <si>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</si>
  <si>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</si>
  <si>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</si>
  <si>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</si>
  <si>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</si>
  <si>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</si>
  <si>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</si>
  <si>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</si>
  <si>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</si>
  <si>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</si>
  <si>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</si>
  <si>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</si>
  <si>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Koszty administracyjne ( D1+...+D9 ), w tym</t>
  </si>
  <si>
    <t>D1</t>
  </si>
  <si>
    <t>zużycie materiałów i energii</t>
  </si>
  <si>
    <t>D2</t>
  </si>
  <si>
    <t>usługi obce</t>
  </si>
  <si>
    <t>D3</t>
  </si>
  <si>
    <t>D4</t>
  </si>
  <si>
    <t>wynagrodzenia</t>
  </si>
  <si>
    <t>D5</t>
  </si>
  <si>
    <t>D6</t>
  </si>
  <si>
    <t>koszty funkcjonowania Rady Funduszu</t>
  </si>
  <si>
    <t>D7</t>
  </si>
  <si>
    <t>D8</t>
  </si>
  <si>
    <t>amortyzacja środków trwałych oraz wartości niematerialnych i prawnych otrzymanych nieodpłatnie</t>
  </si>
  <si>
    <t>D9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</si>
  <si>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</si>
  <si>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</si>
  <si>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</si>
  <si>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</si>
  <si>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</si>
  <si>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</si>
  <si>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</si>
  <si>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</si>
  <si>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</si>
  <si>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</si>
  <si>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</si>
  <si>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</si>
  <si>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</si>
  <si>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</si>
  <si>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</si>
  <si>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</si>
  <si>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</si>
  <si>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</si>
  <si>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</si>
  <si>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</si>
  <si>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</si>
  <si>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</si>
  <si>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</si>
  <si>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</si>
  <si>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</si>
  <si>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</si>
  <si>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</si>
  <si>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</si>
  <si>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</si>
  <si>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</si>
  <si>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</si>
  <si>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</si>
  <si>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</si>
  <si>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refundacja cen leków, o których mowa w art. 36 ust. 4 ustawy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</si>
  <si>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</si>
  <si>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</si>
  <si>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</si>
  <si>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</si>
  <si>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</si>
  <si>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</si>
  <si>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</si>
  <si>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</si>
  <si>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</si>
  <si>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</si>
  <si>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</si>
  <si>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</si>
  <si>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</si>
  <si>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</si>
  <si>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</si>
  <si>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</si>
  <si>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</si>
  <si>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</si>
  <si>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</si>
  <si>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</si>
  <si>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3</t>
  </si>
  <si>
    <t>Razem OW NFZ</t>
  </si>
  <si>
    <t>Centrala Narodowego Funduszu Zdrowia</t>
  </si>
  <si>
    <t>[w tys. zł]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</si>
  <si>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</si>
  <si>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</si>
  <si>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</si>
  <si>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</si>
  <si>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</si>
  <si>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</si>
  <si>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</si>
  <si>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</si>
  <si>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</si>
  <si>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</si>
  <si>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</si>
  <si>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</si>
  <si>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</si>
  <si>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</si>
  <si>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</si>
  <si>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</si>
  <si>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</si>
  <si>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</si>
  <si>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</si>
  <si>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</si>
  <si>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</si>
  <si>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</si>
  <si>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</si>
  <si>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</si>
  <si>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</si>
  <si>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amortyzacja środków trwałych oraz wartości niematerialnych i prawnych zakupionych ze środków własnych Funduszu</t>
  </si>
  <si>
    <t>E1</t>
  </si>
  <si>
    <t>inne przychody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</si>
  <si>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</si>
  <si>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</si>
  <si>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</si>
  <si>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</si>
  <si>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</si>
  <si>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</si>
  <si>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</si>
  <si>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</si>
  <si>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</si>
  <si>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</si>
  <si>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</si>
  <si>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</si>
  <si>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</si>
  <si>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</si>
  <si>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</si>
  <si>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</si>
  <si>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Przychody i koszty Narodowego Funduszu Zdrowia - łącznie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</si>
  <si>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</si>
  <si>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</si>
  <si>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</si>
  <si>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</si>
  <si>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</si>
  <si>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</si>
  <si>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</si>
  <si>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Koszty świadczeń zdrowotnych  (B2.1+...+B2.18), w tym:</t>
  </si>
  <si>
    <t>wydanie i utrzymanie kart ubezpieczenia (w tym części stałych i zamiennych książeczek usług medycznych) oraz recept</t>
  </si>
  <si>
    <r>
      <t>dotacje z budżetu państwa na finansowanie zadań, o których mowa w art. 97 ust. 3 pkt 2a, 3 i 3b ustawy, uwzględniające koszty administracyjne</t>
    </r>
    <r>
      <rPr>
        <b/>
        <vertAlign val="superscript"/>
        <sz val="16"/>
        <rFont val="Times New Roman CE"/>
        <family val="0"/>
      </rPr>
      <t>*)</t>
    </r>
  </si>
  <si>
    <t>Zyski i straty nadzwyczajne (J1 - J2)</t>
  </si>
  <si>
    <t>Wynik fiansowy ogółem brutto (I + J)</t>
  </si>
  <si>
    <t>Przychody finansowe (G1 + G2), w tym:</t>
  </si>
  <si>
    <t>Koszty administracyjne (D1 + … + D9), w tym:</t>
  </si>
  <si>
    <t>Wynik na działalności (A - B)</t>
  </si>
  <si>
    <t>Koszty realizacji zadań (B1 + B2 + B3 + B4)</t>
  </si>
  <si>
    <t>Planowany odpis aktualizujący składkę należną
(2.1 + 2.2), w tym:</t>
  </si>
  <si>
    <t>E2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</si>
  <si>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</si>
  <si>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</si>
  <si>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</si>
  <si>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</si>
  <si>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Plan 
po zmianie</t>
  </si>
  <si>
    <t>4</t>
  </si>
  <si>
    <t>5</t>
  </si>
  <si>
    <t>6</t>
  </si>
  <si>
    <t>Dynamika
kol.4/kol.3</t>
  </si>
  <si>
    <t>Różnica 
kol.4-kol.3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</si>
  <si>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</si>
  <si>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</si>
  <si>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</si>
  <si>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</si>
  <si>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</si>
  <si>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</si>
  <si>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</si>
  <si>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</si>
  <si>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</si>
  <si>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refundacja cen leków, w tym:</t>
  </si>
  <si>
    <t>Pozostałe koszty (F1+F2+F3+F4)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</si>
  <si>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</si>
  <si>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</si>
  <si>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</si>
  <si>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</si>
  <si>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r>
      <t xml:space="preserve">Różnica 
</t>
    </r>
    <r>
      <rPr>
        <b/>
        <sz val="14"/>
        <rFont val="Times New Roman CE"/>
        <family val="0"/>
      </rPr>
      <t>kol.4-kol.3</t>
    </r>
  </si>
  <si>
    <r>
      <t xml:space="preserve">Dynamika
</t>
    </r>
    <r>
      <rPr>
        <b/>
        <sz val="14"/>
        <rFont val="Times New Roman CE"/>
        <family val="0"/>
      </rPr>
      <t>kol.4/kol.3</t>
    </r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</si>
  <si>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</si>
  <si>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</si>
  <si>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</si>
  <si>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</si>
  <si>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</si>
  <si>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</si>
  <si>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</si>
  <si>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Koszty świadczeń zdrowotnych  (B2.1 + … + B2.18), w tym:</t>
  </si>
  <si>
    <t>Pozostałe przychody (E1 + E2),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</si>
  <si>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</si>
  <si>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</si>
  <si>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</si>
  <si>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</si>
  <si>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</si>
  <si>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</si>
  <si>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</si>
  <si>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</si>
  <si>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</si>
  <si>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</si>
  <si>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darowizny i zapisy otrzymane, w tym kwota umorzenia majątku otrzymanego nieodpłatnie wynikająca z rozliczeń międzyokresowych przypadająca na rok planowania</t>
  </si>
  <si>
    <t>Plan na
2010 rok</t>
  </si>
  <si>
    <t xml:space="preserve"> 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</si>
  <si>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</si>
  <si>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</si>
  <si>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</si>
  <si>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</si>
  <si>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</si>
  <si>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</si>
  <si>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</si>
  <si>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</si>
  <si>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</si>
  <si>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</si>
  <si>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</si>
  <si>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</si>
  <si>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</si>
  <si>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</si>
  <si>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</si>
  <si>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</si>
  <si>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</si>
  <si>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</si>
  <si>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</si>
  <si>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</si>
  <si>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</si>
  <si>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</si>
  <si>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</si>
  <si>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</si>
  <si>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</si>
  <si>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</si>
  <si>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</si>
  <si>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</si>
  <si>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</si>
  <si>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</si>
  <si>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</si>
  <si>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</si>
  <si>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</si>
  <si>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</si>
  <si>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</si>
  <si>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</si>
  <si>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</si>
  <si>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Koszt poboru i ewidencjonowania składek
( 4.1 + 4.2 ), w tym:</t>
  </si>
  <si>
    <t>ZMIANA PLANU FINANSOWEGO NARODOWEGO FUNDUSZU ZDROWIA NA 2010 ROK Z 16 GRUDNIA 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</si>
</sst>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.0"/>
    <numFmt numFmtId="170" formatCode="0.0"/>
    <numFmt numFmtId="171" formatCode="#,##0.000"/>
  </numFmts>
  <fonts count="7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8"/>
      <name val="Times New Roman CE"/>
      <family val="0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b/>
      <vertAlign val="superscript"/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name val="Times New Roman CE"/>
      <family val="0"/>
    </font>
    <font>
      <b/>
      <sz val="22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22"/>
      <name val="Times New Roman"/>
      <family val="1"/>
    </font>
    <font>
      <sz val="22"/>
      <name val="Times New Roman CE"/>
      <family val="1"/>
    </font>
    <font>
      <b/>
      <sz val="10"/>
      <name val="Times New Roman"/>
      <family val="1"/>
    </font>
    <font>
      <i/>
      <sz val="16"/>
      <name val="Times New Roman CE"/>
      <family val="1"/>
    </font>
    <font>
      <b/>
      <i/>
      <sz val="16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3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68" applyFont="1" applyFill="1" applyBorder="1" applyAlignment="1" applyProtection="1">
      <alignment horizontal="center" vertical="center" wrapText="1"/>
      <protection/>
    </xf>
    <xf numFmtId="0" fontId="17" fillId="0" borderId="0" xfId="67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21" fillId="0" borderId="0" xfId="68" applyFont="1" applyFill="1" applyBorder="1" applyAlignment="1" applyProtection="1">
      <alignment horizontal="left" vertical="center"/>
      <protection/>
    </xf>
    <xf numFmtId="10" fontId="11" fillId="0" borderId="0" xfId="67" applyNumberFormat="1" applyFont="1" applyFill="1" applyBorder="1" applyAlignment="1" applyProtection="1">
      <alignment horizontal="left" vertical="center" wrapText="1"/>
      <protection/>
    </xf>
    <xf numFmtId="0" fontId="11" fillId="0" borderId="0" xfId="67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49" fontId="9" fillId="34" borderId="10" xfId="65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25" fillId="0" borderId="10" xfId="68" applyFont="1" applyFill="1" applyBorder="1" applyAlignment="1" applyProtection="1">
      <alignment horizontal="center" vertical="center" wrapText="1"/>
      <protection/>
    </xf>
    <xf numFmtId="0" fontId="25" fillId="0" borderId="10" xfId="68" applyFont="1" applyFill="1" applyBorder="1" applyAlignment="1" applyProtection="1">
      <alignment horizontal="center" vertical="center" wrapText="1"/>
      <protection/>
    </xf>
    <xf numFmtId="0" fontId="26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34" borderId="10" xfId="68" applyFont="1" applyFill="1" applyBorder="1" applyAlignment="1" applyProtection="1">
      <alignment horizontal="center" vertical="center" wrapText="1"/>
      <protection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25" fillId="0" borderId="10" xfId="68" applyFont="1" applyFill="1" applyBorder="1" applyAlignment="1" applyProtection="1">
      <alignment horizontal="left" vertical="center" wrapText="1" indent="2"/>
      <protection/>
    </xf>
    <xf numFmtId="0" fontId="25" fillId="0" borderId="10" xfId="65" applyFont="1" applyFill="1" applyBorder="1" applyAlignment="1" applyProtection="1">
      <alignment horizontal="left" vertical="center" wrapText="1" indent="2"/>
      <protection/>
    </xf>
    <xf numFmtId="0" fontId="26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>
      <alignment horizontal="left" vertical="center" wrapText="1" indent="1"/>
      <protection/>
    </xf>
    <xf numFmtId="0" fontId="5" fillId="34" borderId="10" xfId="68" applyFont="1" applyFill="1" applyBorder="1" applyAlignment="1" applyProtection="1">
      <alignment horizontal="left" vertical="center" wrapText="1" indent="1"/>
      <protection/>
    </xf>
    <xf numFmtId="0" fontId="26" fillId="0" borderId="10" xfId="68" applyFont="1" applyFill="1" applyBorder="1" applyAlignment="1" applyProtection="1">
      <alignment horizontal="left" vertical="center" wrapText="1" indent="2"/>
      <protection/>
    </xf>
    <xf numFmtId="0" fontId="26" fillId="0" borderId="10" xfId="67" applyFont="1" applyFill="1" applyBorder="1" applyAlignment="1" applyProtection="1">
      <alignment horizontal="left" vertical="center" wrapText="1" indent="2"/>
      <protection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3" fillId="0" borderId="10" xfId="67" applyFont="1" applyFill="1" applyBorder="1" applyAlignment="1" applyProtection="1">
      <alignment horizontal="left" vertical="center" wrapText="1" indent="3"/>
      <protection/>
    </xf>
    <xf numFmtId="0" fontId="3" fillId="0" borderId="10" xfId="67" applyFont="1" applyFill="1" applyBorder="1" applyAlignment="1" applyProtection="1">
      <alignment horizontal="left" vertical="center" wrapText="1" indent="4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49" fontId="9" fillId="34" borderId="10" xfId="65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49" fontId="9" fillId="34" borderId="10" xfId="0" applyNumberFormat="1" applyFont="1" applyFill="1" applyBorder="1" applyAlignment="1">
      <alignment horizontal="center" vertical="center"/>
    </xf>
    <xf numFmtId="0" fontId="24" fillId="34" borderId="10" xfId="68" applyFont="1" applyFill="1" applyBorder="1" applyAlignment="1" applyProtection="1">
      <alignment horizontal="center" vertical="center" wrapText="1"/>
      <protection/>
    </xf>
    <xf numFmtId="0" fontId="24" fillId="34" borderId="10" xfId="68" applyFont="1" applyFill="1" applyBorder="1" applyAlignment="1" applyProtection="1">
      <alignment horizontal="left" vertical="center" wrapText="1" inden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 quotePrefix="1">
      <alignment horizontal="center" vertical="center" wrapText="1"/>
      <protection/>
    </xf>
    <xf numFmtId="0" fontId="24" fillId="34" borderId="10" xfId="68" applyFont="1" applyFill="1" applyBorder="1" applyAlignment="1" applyProtection="1" quotePrefix="1">
      <alignment horizontal="center" vertical="center" wrapText="1"/>
      <protection/>
    </xf>
    <xf numFmtId="0" fontId="24" fillId="34" borderId="10" xfId="68" applyFont="1" applyFill="1" applyBorder="1" applyAlignment="1" applyProtection="1" quotePrefix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3"/>
      <protection/>
    </xf>
    <xf numFmtId="0" fontId="17" fillId="0" borderId="10" xfId="68" applyFont="1" applyFill="1" applyBorder="1" applyAlignment="1" applyProtection="1">
      <alignment horizontal="left" vertical="center" wrapText="1" indent="2"/>
      <protection/>
    </xf>
    <xf numFmtId="0" fontId="12" fillId="34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7" applyFont="1" applyFill="1" applyBorder="1" applyAlignment="1" applyProtection="1">
      <alignment horizontal="left" vertical="center" wrapText="1" indent="3"/>
      <protection/>
    </xf>
    <xf numFmtId="0" fontId="17" fillId="0" borderId="10" xfId="67" applyFont="1" applyFill="1" applyBorder="1" applyAlignment="1" applyProtection="1">
      <alignment horizontal="left" vertical="center" wrapText="1" indent="4"/>
      <protection/>
    </xf>
    <xf numFmtId="0" fontId="24" fillId="34" borderId="10" xfId="67" applyFont="1" applyFill="1" applyBorder="1" applyAlignment="1" applyProtection="1">
      <alignment horizontal="center" vertical="center" wrapText="1"/>
      <protection/>
    </xf>
    <xf numFmtId="0" fontId="24" fillId="34" borderId="10" xfId="67" applyFont="1" applyFill="1" applyBorder="1" applyAlignment="1" applyProtection="1">
      <alignment horizontal="left" vertical="center" wrapText="1" indent="1"/>
      <protection/>
    </xf>
    <xf numFmtId="0" fontId="24" fillId="34" borderId="11" xfId="67" applyFont="1" applyFill="1" applyBorder="1" applyAlignment="1" applyProtection="1">
      <alignment horizontal="left" vertical="center" wrapText="1" indent="1"/>
      <protection/>
    </xf>
    <xf numFmtId="0" fontId="24" fillId="34" borderId="11" xfId="68" applyFont="1" applyFill="1" applyBorder="1" applyAlignment="1" applyProtection="1">
      <alignment horizontal="left" vertical="center" wrapText="1" indent="1"/>
      <protection/>
    </xf>
    <xf numFmtId="3" fontId="16" fillId="34" borderId="1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vertical="center"/>
      <protection locked="0"/>
    </xf>
    <xf numFmtId="164" fontId="16" fillId="34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0" fillId="0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Fill="1" applyBorder="1" applyAlignment="1">
      <alignment horizontal="right" vertical="center"/>
    </xf>
    <xf numFmtId="10" fontId="13" fillId="34" borderId="10" xfId="0" applyNumberFormat="1" applyFont="1" applyFill="1" applyBorder="1" applyAlignment="1" applyProtection="1">
      <alignment vertical="center"/>
      <protection locked="0"/>
    </xf>
    <xf numFmtId="10" fontId="11" fillId="34" borderId="10" xfId="0" applyNumberFormat="1" applyFont="1" applyFill="1" applyBorder="1" applyAlignment="1">
      <alignment horizontal="right" vertical="center"/>
    </xf>
    <xf numFmtId="10" fontId="16" fillId="34" borderId="10" xfId="0" applyNumberFormat="1" applyFont="1" applyFill="1" applyBorder="1" applyAlignment="1">
      <alignment horizontal="right" vertical="center"/>
    </xf>
    <xf numFmtId="10" fontId="10" fillId="0" borderId="10" xfId="70" applyNumberFormat="1" applyFont="1" applyFill="1" applyBorder="1" applyAlignment="1" applyProtection="1">
      <alignment horizontal="right" vertical="center"/>
      <protection/>
    </xf>
    <xf numFmtId="3" fontId="13" fillId="34" borderId="10" xfId="0" applyNumberFormat="1" applyFont="1" applyFill="1" applyBorder="1" applyAlignment="1" applyProtection="1">
      <alignment horizontal="right" vertical="center"/>
      <protection locked="0"/>
    </xf>
    <xf numFmtId="0" fontId="25" fillId="0" borderId="10" xfId="68" applyFont="1" applyFill="1" applyBorder="1" applyAlignment="1" applyProtection="1">
      <alignment horizontal="left" vertical="center" wrapText="1" indent="2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10" fontId="33" fillId="34" borderId="10" xfId="0" applyNumberFormat="1" applyFont="1" applyFill="1" applyBorder="1" applyAlignment="1" applyProtection="1">
      <alignment horizontal="right" vertical="center"/>
      <protection/>
    </xf>
    <xf numFmtId="3" fontId="10" fillId="35" borderId="1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3" fillId="34" borderId="10" xfId="0" applyNumberFormat="1" applyFont="1" applyFill="1" applyBorder="1" applyAlignment="1" applyProtection="1">
      <alignment horizontal="right" vertical="center"/>
      <protection/>
    </xf>
    <xf numFmtId="3" fontId="10" fillId="35" borderId="10" xfId="0" applyNumberFormat="1" applyFont="1" applyFill="1" applyBorder="1" applyAlignment="1" applyProtection="1">
      <alignment horizontal="right" vertical="center"/>
      <protection locked="0"/>
    </xf>
    <xf numFmtId="3" fontId="11" fillId="35" borderId="10" xfId="0" applyNumberFormat="1" applyFont="1" applyFill="1" applyBorder="1" applyAlignment="1" applyProtection="1">
      <alignment horizontal="right" vertical="center"/>
      <protection/>
    </xf>
    <xf numFmtId="3" fontId="10" fillId="35" borderId="10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10" fontId="11" fillId="0" borderId="10" xfId="0" applyNumberFormat="1" applyFont="1" applyFill="1" applyBorder="1" applyAlignment="1" applyProtection="1">
      <alignment horizontal="right" vertical="center"/>
      <protection/>
    </xf>
    <xf numFmtId="3" fontId="18" fillId="0" borderId="0" xfId="0" applyNumberFormat="1" applyFont="1" applyFill="1" applyAlignment="1">
      <alignment/>
    </xf>
    <xf numFmtId="3" fontId="4" fillId="34" borderId="0" xfId="0" applyNumberFormat="1" applyFont="1" applyFill="1" applyAlignment="1" applyProtection="1">
      <alignment vertical="center"/>
      <protection locked="0"/>
    </xf>
    <xf numFmtId="0" fontId="22" fillId="33" borderId="0" xfId="0" applyFont="1" applyFill="1" applyAlignment="1" applyProtection="1">
      <alignment vertical="center" wrapText="1"/>
      <protection locked="0"/>
    </xf>
    <xf numFmtId="0" fontId="37" fillId="34" borderId="0" xfId="0" applyFont="1" applyFill="1" applyAlignment="1" applyProtection="1">
      <alignment horizontal="center" vertical="center"/>
      <protection locked="0"/>
    </xf>
    <xf numFmtId="49" fontId="38" fillId="34" borderId="10" xfId="65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3" fontId="22" fillId="34" borderId="1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Alignment="1" applyProtection="1">
      <alignment vertical="center"/>
      <protection locked="0"/>
    </xf>
    <xf numFmtId="10" fontId="7" fillId="0" borderId="0" xfId="70" applyNumberFormat="1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0" fontId="39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9" fillId="0" borderId="0" xfId="0" applyFont="1" applyFill="1" applyAlignment="1" applyProtection="1">
      <alignment vertical="center"/>
      <protection locked="0"/>
    </xf>
    <xf numFmtId="0" fontId="39" fillId="34" borderId="0" xfId="0" applyFont="1" applyFill="1" applyAlignment="1" applyProtection="1">
      <alignment horizontal="center" vertical="center"/>
      <protection locked="0"/>
    </xf>
    <xf numFmtId="0" fontId="39" fillId="34" borderId="0" xfId="0" applyFont="1" applyFill="1" applyAlignment="1" applyProtection="1">
      <alignment vertical="center"/>
      <protection locked="0"/>
    </xf>
    <xf numFmtId="2" fontId="40" fillId="0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0" fontId="41" fillId="0" borderId="0" xfId="0" applyFont="1" applyFill="1" applyAlignment="1" applyProtection="1">
      <alignment vertical="center"/>
      <protection locked="0"/>
    </xf>
    <xf numFmtId="3" fontId="11" fillId="35" borderId="10" xfId="0" applyNumberFormat="1" applyFont="1" applyFill="1" applyBorder="1" applyAlignment="1">
      <alignment horizontal="right" vertical="center"/>
    </xf>
    <xf numFmtId="3" fontId="25" fillId="34" borderId="0" xfId="0" applyNumberFormat="1" applyFont="1" applyFill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right" vertical="center"/>
    </xf>
    <xf numFmtId="3" fontId="22" fillId="36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2" fillId="37" borderId="10" xfId="68" applyFont="1" applyFill="1" applyBorder="1" applyAlignment="1" applyProtection="1">
      <alignment horizontal="center" vertical="center" wrapText="1"/>
      <protection/>
    </xf>
    <xf numFmtId="0" fontId="12" fillId="37" borderId="10" xfId="68" applyFont="1" applyFill="1" applyBorder="1" applyAlignment="1" applyProtection="1">
      <alignment horizontal="left" vertical="center" wrapText="1" indent="1"/>
      <protection/>
    </xf>
    <xf numFmtId="3" fontId="22" fillId="37" borderId="10" xfId="0" applyNumberFormat="1" applyFont="1" applyFill="1" applyBorder="1" applyAlignment="1">
      <alignment horizontal="right" vertical="center"/>
    </xf>
    <xf numFmtId="3" fontId="5" fillId="37" borderId="10" xfId="0" applyNumberFormat="1" applyFont="1" applyFill="1" applyBorder="1" applyAlignment="1" applyProtection="1">
      <alignment horizontal="right" vertical="center"/>
      <protection locked="0"/>
    </xf>
    <xf numFmtId="0" fontId="36" fillId="37" borderId="10" xfId="65" applyFont="1" applyFill="1" applyBorder="1" applyAlignment="1" applyProtection="1">
      <alignment horizontal="center" vertical="center" wrapText="1"/>
      <protection locked="0"/>
    </xf>
    <xf numFmtId="0" fontId="36" fillId="37" borderId="10" xfId="0" applyFont="1" applyFill="1" applyBorder="1" applyAlignment="1">
      <alignment horizontal="center" vertical="center" textRotation="90"/>
    </xf>
    <xf numFmtId="0" fontId="36" fillId="37" borderId="10" xfId="0" applyFont="1" applyFill="1" applyBorder="1" applyAlignment="1">
      <alignment horizontal="center" vertical="center" textRotation="90" wrapText="1"/>
    </xf>
    <xf numFmtId="3" fontId="12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3" fontId="43" fillId="0" borderId="0" xfId="0" applyNumberFormat="1" applyFont="1" applyFill="1" applyAlignment="1">
      <alignment/>
    </xf>
    <xf numFmtId="0" fontId="22" fillId="0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1" fillId="34" borderId="10" xfId="65" applyFont="1" applyFill="1" applyBorder="1" applyAlignment="1" applyProtection="1">
      <alignment horizontal="center" vertical="center" wrapText="1"/>
      <protection/>
    </xf>
    <xf numFmtId="3" fontId="24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24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24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34" borderId="13" xfId="66" applyNumberFormat="1" applyFont="1" applyFill="1" applyBorder="1" applyAlignment="1">
      <alignment horizontal="center" vertical="center" wrapText="1"/>
      <protection/>
    </xf>
    <xf numFmtId="3" fontId="11" fillId="34" borderId="14" xfId="66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33" borderId="0" xfId="0" applyFont="1" applyFill="1" applyAlignment="1" applyProtection="1">
      <alignment horizontal="left"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right" vertical="top" wrapText="1"/>
      <protection locked="0"/>
    </xf>
  </cellXfs>
  <cellStyles count="66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Normalny_03PlFin_0403" xfId="65"/>
    <cellStyle name="Normalny_2007.06.18 -2v- Plan finansowy na lata 2004 - 2010" xfId="66"/>
    <cellStyle name="Normalny_WfMgkr1" xfId="67"/>
    <cellStyle name="Normalny_Wzór z 09.10.2001" xfId="68"/>
    <cellStyle name="Obliczenia" xfId="69"/>
    <cellStyle name="Percent" xfId="70"/>
    <cellStyle name="Styl 1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dyta\2010\Zmiana%20planu%20-%20autopoprawka%20z%2015.12.2009%20-%20do%20zm.%20z%204.12.2009\Wys&#322;ane\Zmiana%20planu%20finansowego%20NFZ%20-%20autopoprawka%20z%2014%2012%2009%20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</sheetNames>
    <sheetDataSet>
      <sheetData sheetId="0">
        <row r="83">
          <cell r="D83">
            <v>-2216364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H121"/>
  <sheetViews>
    <sheetView showGridLines="0" zoomScale="55" zoomScaleNormal="55" zoomScaleSheetLayoutView="55" zoomScalePageLayoutView="0" workbookViewId="0" topLeftCell="A79">
      <selection activeCell="G79" sqref="G1:H16384"/>
    </sheetView>
  </sheetViews>
  <sheetFormatPr defaultColWidth="9.00390625" defaultRowHeight="12.75"/>
  <cols>
    <col min="1" max="1" width="10.375" style="28" customWidth="1"/>
    <col min="2" max="2" width="120.00390625" style="28" customWidth="1"/>
    <col min="3" max="3" width="26.25390625" style="7" customWidth="1"/>
    <col min="4" max="4" width="26.125" style="7" customWidth="1"/>
    <col min="5" max="5" width="24.375" style="7" customWidth="1"/>
    <col min="6" max="6" width="25.375" style="7" customWidth="1"/>
    <col min="7" max="7" width="17.375" style="7" customWidth="1"/>
    <col min="8" max="8" width="17.00390625" style="7" bestFit="1" customWidth="1"/>
    <col min="9" max="16384" width="9.125" style="7" customWidth="1"/>
  </cols>
  <sheetData>
    <row r="1" spans="1:6" s="133" customFormat="1" ht="28.5" customHeight="1">
      <c r="A1" s="155" t="s">
        <v>241</v>
      </c>
      <c r="B1" s="155"/>
      <c r="C1" s="155"/>
      <c r="D1" s="155"/>
      <c r="E1" s="155"/>
      <c r="F1" s="155"/>
    </row>
    <row r="2" spans="1:3" s="134" customFormat="1" ht="30.75" customHeight="1">
      <c r="A2" s="154" t="s">
        <v>135</v>
      </c>
      <c r="B2" s="154"/>
      <c r="C2" s="155"/>
    </row>
    <row r="3" spans="1:6" s="10" customFormat="1" ht="36" customHeight="1">
      <c r="A3" s="8"/>
      <c r="B3" s="9"/>
      <c r="C3" s="30"/>
      <c r="D3" s="30"/>
      <c r="E3" s="30"/>
      <c r="F3" s="30" t="s">
        <v>90</v>
      </c>
    </row>
    <row r="4" spans="1:86" s="11" customFormat="1" ht="38.25" customHeight="1">
      <c r="A4" s="156" t="s">
        <v>164</v>
      </c>
      <c r="B4" s="156" t="s">
        <v>62</v>
      </c>
      <c r="C4" s="160" t="s">
        <v>201</v>
      </c>
      <c r="D4" s="157" t="s">
        <v>158</v>
      </c>
      <c r="E4" s="159" t="s">
        <v>179</v>
      </c>
      <c r="F4" s="159" t="s">
        <v>180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</row>
    <row r="5" spans="1:86" s="11" customFormat="1" ht="38.25" customHeight="1">
      <c r="A5" s="156"/>
      <c r="B5" s="156"/>
      <c r="C5" s="161"/>
      <c r="D5" s="158"/>
      <c r="E5" s="159"/>
      <c r="F5" s="159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</row>
    <row r="6" spans="1:86" s="12" customFormat="1" ht="19.5" customHeight="1">
      <c r="A6" s="58">
        <v>1</v>
      </c>
      <c r="B6" s="62">
        <v>2</v>
      </c>
      <c r="C6" s="62">
        <v>3</v>
      </c>
      <c r="D6" s="32" t="s">
        <v>159</v>
      </c>
      <c r="E6" s="32" t="s">
        <v>160</v>
      </c>
      <c r="F6" s="32" t="s">
        <v>161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</row>
    <row r="7" spans="1:86" s="14" customFormat="1" ht="63.75" customHeight="1">
      <c r="A7" s="63">
        <v>1</v>
      </c>
      <c r="B7" s="64" t="s">
        <v>156</v>
      </c>
      <c r="C7" s="13">
        <f>C8+C9</f>
        <v>55511967</v>
      </c>
      <c r="D7" s="13">
        <f>D8+D9</f>
        <v>55406734</v>
      </c>
      <c r="E7" s="13">
        <f>IF(C7=D7,"-",D7-C7)</f>
        <v>-105233</v>
      </c>
      <c r="F7" s="93">
        <f>IF(C7=0,"-",D7/C7)</f>
        <v>0.9981</v>
      </c>
      <c r="G7" s="150"/>
      <c r="H7" s="117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</row>
    <row r="8" spans="1:8" ht="30" customHeight="1">
      <c r="A8" s="65" t="s">
        <v>91</v>
      </c>
      <c r="B8" s="66" t="s">
        <v>92</v>
      </c>
      <c r="C8" s="15">
        <v>52251850</v>
      </c>
      <c r="D8" s="15">
        <f>C8</f>
        <v>52251850</v>
      </c>
      <c r="E8" s="15" t="str">
        <f aca="true" t="shared" si="0" ref="E8:E45">IF(C8=D8,"-",D8-C8)</f>
        <v>-</v>
      </c>
      <c r="F8" s="94">
        <f aca="true" t="shared" si="1" ref="F8:F45">IF(C8=0,"-",D8/C8)</f>
        <v>1</v>
      </c>
      <c r="G8" s="151"/>
      <c r="H8" s="117"/>
    </row>
    <row r="9" spans="1:8" ht="30" customHeight="1">
      <c r="A9" s="65" t="s">
        <v>93</v>
      </c>
      <c r="B9" s="66" t="s">
        <v>94</v>
      </c>
      <c r="C9" s="15">
        <v>3260117</v>
      </c>
      <c r="D9" s="15">
        <f>C9-105233</f>
        <v>3154884</v>
      </c>
      <c r="E9" s="15">
        <f t="shared" si="0"/>
        <v>-105233</v>
      </c>
      <c r="F9" s="94">
        <f t="shared" si="1"/>
        <v>0.9677</v>
      </c>
      <c r="G9" s="151"/>
      <c r="H9" s="117"/>
    </row>
    <row r="10" spans="1:86" s="14" customFormat="1" ht="63.75" customHeight="1">
      <c r="A10" s="63">
        <v>2</v>
      </c>
      <c r="B10" s="64" t="s">
        <v>152</v>
      </c>
      <c r="C10" s="13">
        <f>C11+C12</f>
        <v>0</v>
      </c>
      <c r="D10" s="13">
        <f>D11+D12</f>
        <v>0</v>
      </c>
      <c r="E10" s="13" t="str">
        <f t="shared" si="0"/>
        <v>-</v>
      </c>
      <c r="F10" s="93" t="str">
        <f t="shared" si="1"/>
        <v>-</v>
      </c>
      <c r="G10" s="150"/>
      <c r="H10" s="117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</row>
    <row r="11" spans="1:8" ht="30" customHeight="1">
      <c r="A11" s="65" t="s">
        <v>95</v>
      </c>
      <c r="B11" s="66" t="s">
        <v>96</v>
      </c>
      <c r="C11" s="15">
        <v>0</v>
      </c>
      <c r="D11" s="15">
        <f>C11</f>
        <v>0</v>
      </c>
      <c r="E11" s="15" t="str">
        <f t="shared" si="0"/>
        <v>-</v>
      </c>
      <c r="F11" s="94" t="str">
        <f t="shared" si="1"/>
        <v>-</v>
      </c>
      <c r="G11" s="151"/>
      <c r="H11" s="117"/>
    </row>
    <row r="12" spans="1:8" ht="30" customHeight="1">
      <c r="A12" s="65" t="s">
        <v>97</v>
      </c>
      <c r="B12" s="66" t="s">
        <v>98</v>
      </c>
      <c r="C12" s="15">
        <v>0</v>
      </c>
      <c r="D12" s="15">
        <f>C12</f>
        <v>0</v>
      </c>
      <c r="E12" s="15" t="str">
        <f t="shared" si="0"/>
        <v>-</v>
      </c>
      <c r="F12" s="94" t="str">
        <f t="shared" si="1"/>
        <v>-</v>
      </c>
      <c r="G12" s="151"/>
      <c r="H12" s="117"/>
    </row>
    <row r="13" spans="1:86" s="14" customFormat="1" ht="39.75" customHeight="1">
      <c r="A13" s="63">
        <v>3</v>
      </c>
      <c r="B13" s="64" t="s">
        <v>99</v>
      </c>
      <c r="C13" s="13">
        <f>C14+C15</f>
        <v>200000</v>
      </c>
      <c r="D13" s="13">
        <f>D14+D15</f>
        <v>200000</v>
      </c>
      <c r="E13" s="13" t="str">
        <f t="shared" si="0"/>
        <v>-</v>
      </c>
      <c r="F13" s="93">
        <f t="shared" si="1"/>
        <v>1</v>
      </c>
      <c r="G13" s="150"/>
      <c r="H13" s="117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</row>
    <row r="14" spans="1:8" ht="30" customHeight="1">
      <c r="A14" s="65" t="s">
        <v>100</v>
      </c>
      <c r="B14" s="66" t="s">
        <v>92</v>
      </c>
      <c r="C14" s="15">
        <v>200000</v>
      </c>
      <c r="D14" s="15">
        <f>C14</f>
        <v>200000</v>
      </c>
      <c r="E14" s="15" t="str">
        <f t="shared" si="0"/>
        <v>-</v>
      </c>
      <c r="F14" s="94">
        <f t="shared" si="1"/>
        <v>1</v>
      </c>
      <c r="G14" s="151"/>
      <c r="H14" s="117"/>
    </row>
    <row r="15" spans="1:8" ht="30" customHeight="1">
      <c r="A15" s="65" t="s">
        <v>101</v>
      </c>
      <c r="B15" s="66" t="s">
        <v>94</v>
      </c>
      <c r="C15" s="15">
        <v>0</v>
      </c>
      <c r="D15" s="15">
        <f>C15</f>
        <v>0</v>
      </c>
      <c r="E15" s="15" t="str">
        <f t="shared" si="0"/>
        <v>-</v>
      </c>
      <c r="F15" s="94" t="str">
        <f t="shared" si="1"/>
        <v>-</v>
      </c>
      <c r="G15" s="151"/>
      <c r="H15" s="117"/>
    </row>
    <row r="16" spans="1:86" s="14" customFormat="1" ht="63.75" customHeight="1">
      <c r="A16" s="63">
        <v>4</v>
      </c>
      <c r="B16" s="64" t="s">
        <v>240</v>
      </c>
      <c r="C16" s="13">
        <f>C17+C18</f>
        <v>109979</v>
      </c>
      <c r="D16" s="13">
        <f>D17+D18</f>
        <v>109769</v>
      </c>
      <c r="E16" s="13">
        <f t="shared" si="0"/>
        <v>-210</v>
      </c>
      <c r="F16" s="93">
        <f t="shared" si="1"/>
        <v>0.9981</v>
      </c>
      <c r="G16" s="150"/>
      <c r="H16" s="117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</row>
    <row r="17" spans="1:8" ht="30" customHeight="1">
      <c r="A17" s="67" t="s">
        <v>102</v>
      </c>
      <c r="B17" s="66" t="s">
        <v>103</v>
      </c>
      <c r="C17" s="15">
        <v>103459</v>
      </c>
      <c r="D17" s="15">
        <f>C17</f>
        <v>103459</v>
      </c>
      <c r="E17" s="15" t="str">
        <f t="shared" si="0"/>
        <v>-</v>
      </c>
      <c r="F17" s="94">
        <f t="shared" si="1"/>
        <v>1</v>
      </c>
      <c r="G17" s="151"/>
      <c r="H17" s="117"/>
    </row>
    <row r="18" spans="1:8" ht="30" customHeight="1">
      <c r="A18" s="67" t="s">
        <v>104</v>
      </c>
      <c r="B18" s="66" t="s">
        <v>105</v>
      </c>
      <c r="C18" s="15">
        <v>6520</v>
      </c>
      <c r="D18" s="15">
        <f>C18-210</f>
        <v>6310</v>
      </c>
      <c r="E18" s="15">
        <f t="shared" si="0"/>
        <v>-210</v>
      </c>
      <c r="F18" s="94">
        <f t="shared" si="1"/>
        <v>0.9678</v>
      </c>
      <c r="G18" s="151"/>
      <c r="H18" s="117"/>
    </row>
    <row r="19" spans="1:86" s="14" customFormat="1" ht="63.75" customHeight="1">
      <c r="A19" s="68" t="s">
        <v>182</v>
      </c>
      <c r="B19" s="69" t="s">
        <v>181</v>
      </c>
      <c r="C19" s="13">
        <f>(C7-C10+C13-C16)+C20+C21+C22+C23</f>
        <v>57531735</v>
      </c>
      <c r="D19" s="13">
        <f>(D7-D10+D13-D16)+D20+D21+D22+D23</f>
        <v>57426712</v>
      </c>
      <c r="E19" s="13">
        <f t="shared" si="0"/>
        <v>-105023</v>
      </c>
      <c r="F19" s="93">
        <f t="shared" si="1"/>
        <v>0.9982</v>
      </c>
      <c r="G19" s="150"/>
      <c r="H19" s="117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</row>
    <row r="20" spans="1:8" ht="31.5" customHeight="1">
      <c r="A20" s="65" t="s">
        <v>106</v>
      </c>
      <c r="B20" s="70" t="s">
        <v>107</v>
      </c>
      <c r="C20" s="15">
        <v>67600</v>
      </c>
      <c r="D20" s="15">
        <f>C20</f>
        <v>67600</v>
      </c>
      <c r="E20" s="15" t="str">
        <f t="shared" si="0"/>
        <v>-</v>
      </c>
      <c r="F20" s="94">
        <f t="shared" si="1"/>
        <v>1</v>
      </c>
      <c r="G20" s="151"/>
      <c r="H20" s="117"/>
    </row>
    <row r="21" spans="1:8" ht="31.5" customHeight="1">
      <c r="A21" s="65" t="s">
        <v>108</v>
      </c>
      <c r="B21" s="70" t="s">
        <v>109</v>
      </c>
      <c r="C21" s="15">
        <v>0</v>
      </c>
      <c r="D21" s="15">
        <f>C21</f>
        <v>0</v>
      </c>
      <c r="E21" s="15" t="str">
        <f t="shared" si="0"/>
        <v>-</v>
      </c>
      <c r="F21" s="94" t="str">
        <f t="shared" si="1"/>
        <v>-</v>
      </c>
      <c r="G21" s="151"/>
      <c r="H21" s="117"/>
    </row>
    <row r="22" spans="1:8" ht="50.25" customHeight="1">
      <c r="A22" s="65" t="s">
        <v>110</v>
      </c>
      <c r="B22" s="70" t="s">
        <v>145</v>
      </c>
      <c r="C22" s="15">
        <v>131647</v>
      </c>
      <c r="D22" s="15">
        <f>C22</f>
        <v>131647</v>
      </c>
      <c r="E22" s="15" t="str">
        <f t="shared" si="0"/>
        <v>-</v>
      </c>
      <c r="F22" s="94">
        <f t="shared" si="1"/>
        <v>1</v>
      </c>
      <c r="G22" s="151"/>
      <c r="H22" s="117"/>
    </row>
    <row r="23" spans="1:8" ht="31.5" customHeight="1">
      <c r="A23" s="65" t="s">
        <v>111</v>
      </c>
      <c r="B23" s="71" t="s">
        <v>112</v>
      </c>
      <c r="C23" s="15">
        <v>1730500</v>
      </c>
      <c r="D23" s="15">
        <f>C23</f>
        <v>1730500</v>
      </c>
      <c r="E23" s="15" t="str">
        <f t="shared" si="0"/>
        <v>-</v>
      </c>
      <c r="F23" s="94">
        <f t="shared" si="1"/>
        <v>1</v>
      </c>
      <c r="G23" s="151"/>
      <c r="H23" s="117"/>
    </row>
    <row r="24" spans="1:86" s="14" customFormat="1" ht="36" customHeight="1">
      <c r="A24" s="68" t="s">
        <v>183</v>
      </c>
      <c r="B24" s="69" t="s">
        <v>151</v>
      </c>
      <c r="C24" s="13">
        <f>C25+C26+C47+C48</f>
        <v>58772882</v>
      </c>
      <c r="D24" s="13">
        <f>D25+D26+D47+D48</f>
        <v>58772882</v>
      </c>
      <c r="E24" s="13" t="str">
        <f t="shared" si="0"/>
        <v>-</v>
      </c>
      <c r="F24" s="93">
        <f t="shared" si="1"/>
        <v>1</v>
      </c>
      <c r="G24" s="150"/>
      <c r="H24" s="117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</row>
    <row r="25" spans="1:86" s="14" customFormat="1" ht="36" customHeight="1">
      <c r="A25" s="68" t="s">
        <v>113</v>
      </c>
      <c r="B25" s="69" t="s">
        <v>114</v>
      </c>
      <c r="C25" s="13">
        <v>0</v>
      </c>
      <c r="D25" s="13">
        <v>0</v>
      </c>
      <c r="E25" s="13" t="str">
        <f t="shared" si="0"/>
        <v>-</v>
      </c>
      <c r="F25" s="93" t="str">
        <f t="shared" si="1"/>
        <v>-</v>
      </c>
      <c r="G25" s="150"/>
      <c r="H25" s="117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</row>
    <row r="26" spans="1:86" s="14" customFormat="1" ht="36" customHeight="1">
      <c r="A26" s="68" t="s">
        <v>0</v>
      </c>
      <c r="B26" s="69" t="s">
        <v>188</v>
      </c>
      <c r="C26" s="34">
        <f>C27+C28+C29+C31+C32+C33+C34+C35+C36+C37+C38+C39+C40+C41+C43+C44+C45+C46</f>
        <v>57042382</v>
      </c>
      <c r="D26" s="34">
        <f>D27+D28+D29+D31+D32+D33+D34+D35+D36+D37+D38+D39+D40+D41+D43+D44+D45+D46</f>
        <v>57042382</v>
      </c>
      <c r="E26" s="99" t="str">
        <f>IF(C26=D26,"-",D26-C26)</f>
        <v>-</v>
      </c>
      <c r="F26" s="95">
        <f t="shared" si="1"/>
        <v>1</v>
      </c>
      <c r="G26" s="150"/>
      <c r="H26" s="117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</row>
    <row r="27" spans="1:8" ht="30" customHeight="1">
      <c r="A27" s="72" t="s">
        <v>1</v>
      </c>
      <c r="B27" s="74" t="s">
        <v>165</v>
      </c>
      <c r="C27" s="15">
        <f>CENTRALA!C8+'Razem OW'!C8</f>
        <v>7278698</v>
      </c>
      <c r="D27" s="15">
        <f>CENTRALA!D8+'Razem OW'!D8</f>
        <v>7278698</v>
      </c>
      <c r="E27" s="137" t="str">
        <f t="shared" si="0"/>
        <v>-</v>
      </c>
      <c r="F27" s="94">
        <f t="shared" si="1"/>
        <v>1</v>
      </c>
      <c r="G27" s="151"/>
      <c r="H27" s="117"/>
    </row>
    <row r="28" spans="1:8" ht="30" customHeight="1">
      <c r="A28" s="72" t="s">
        <v>2</v>
      </c>
      <c r="B28" s="74" t="s">
        <v>166</v>
      </c>
      <c r="C28" s="15">
        <f>CENTRALA!C9+'Razem OW'!C9</f>
        <v>4240343</v>
      </c>
      <c r="D28" s="15">
        <f>CENTRALA!D9+'Razem OW'!D9</f>
        <v>4240343</v>
      </c>
      <c r="E28" s="137" t="str">
        <f>IF(C28=D28,"-",D28-C28)</f>
        <v>-</v>
      </c>
      <c r="F28" s="94">
        <f t="shared" si="1"/>
        <v>1</v>
      </c>
      <c r="G28" s="151"/>
      <c r="H28" s="117"/>
    </row>
    <row r="29" spans="1:8" ht="30" customHeight="1">
      <c r="A29" s="72" t="s">
        <v>3</v>
      </c>
      <c r="B29" s="74" t="s">
        <v>157</v>
      </c>
      <c r="C29" s="15">
        <f>CENTRALA!C10+'Razem OW'!C10</f>
        <v>26732035</v>
      </c>
      <c r="D29" s="15">
        <f>CENTRALA!D10+'Razem OW'!D10</f>
        <v>26732035</v>
      </c>
      <c r="E29" s="137" t="str">
        <f t="shared" si="0"/>
        <v>-</v>
      </c>
      <c r="F29" s="94">
        <f t="shared" si="1"/>
        <v>1</v>
      </c>
      <c r="G29" s="151"/>
      <c r="H29" s="117"/>
    </row>
    <row r="30" spans="1:8" ht="30" customHeight="1">
      <c r="A30" s="72" t="s">
        <v>64</v>
      </c>
      <c r="B30" s="73" t="s">
        <v>65</v>
      </c>
      <c r="C30" s="15">
        <f>CENTRALA!C11+'Razem OW'!C11</f>
        <v>1572053</v>
      </c>
      <c r="D30" s="15">
        <f>CENTRALA!D11+'Razem OW'!D11</f>
        <v>1572053</v>
      </c>
      <c r="E30" s="137" t="str">
        <f t="shared" si="0"/>
        <v>-</v>
      </c>
      <c r="F30" s="94">
        <f t="shared" si="1"/>
        <v>1</v>
      </c>
      <c r="G30" s="151"/>
      <c r="H30" s="117"/>
    </row>
    <row r="31" spans="1:8" ht="30" customHeight="1">
      <c r="A31" s="72" t="s">
        <v>4</v>
      </c>
      <c r="B31" s="74" t="s">
        <v>172</v>
      </c>
      <c r="C31" s="15">
        <f>CENTRALA!C12+'Razem OW'!C12</f>
        <v>1987930</v>
      </c>
      <c r="D31" s="15">
        <f>CENTRALA!D12+'Razem OW'!D12</f>
        <v>1987930</v>
      </c>
      <c r="E31" s="137" t="str">
        <f t="shared" si="0"/>
        <v>-</v>
      </c>
      <c r="F31" s="94">
        <f t="shared" si="1"/>
        <v>1</v>
      </c>
      <c r="G31" s="151"/>
      <c r="H31" s="117"/>
    </row>
    <row r="32" spans="1:8" ht="30" customHeight="1">
      <c r="A32" s="72" t="s">
        <v>5</v>
      </c>
      <c r="B32" s="74" t="s">
        <v>167</v>
      </c>
      <c r="C32" s="15">
        <f>CENTRALA!C13+'Razem OW'!C13</f>
        <v>1763671</v>
      </c>
      <c r="D32" s="15">
        <f>CENTRALA!D13+'Razem OW'!D13</f>
        <v>1763671</v>
      </c>
      <c r="E32" s="137" t="str">
        <f t="shared" si="0"/>
        <v>-</v>
      </c>
      <c r="F32" s="94">
        <f t="shared" si="1"/>
        <v>1</v>
      </c>
      <c r="G32" s="151"/>
      <c r="H32" s="117"/>
    </row>
    <row r="33" spans="1:8" ht="30" customHeight="1">
      <c r="A33" s="72" t="s">
        <v>6</v>
      </c>
      <c r="B33" s="74" t="s">
        <v>176</v>
      </c>
      <c r="C33" s="15">
        <f>CENTRALA!C14+'Razem OW'!C14</f>
        <v>930959</v>
      </c>
      <c r="D33" s="15">
        <f>CENTRALA!D14+'Razem OW'!D14</f>
        <v>930959</v>
      </c>
      <c r="E33" s="137" t="str">
        <f t="shared" si="0"/>
        <v>-</v>
      </c>
      <c r="F33" s="94">
        <f t="shared" si="1"/>
        <v>1</v>
      </c>
      <c r="G33" s="151"/>
      <c r="H33" s="117"/>
    </row>
    <row r="34" spans="1:8" ht="30" customHeight="1">
      <c r="A34" s="72" t="s">
        <v>7</v>
      </c>
      <c r="B34" s="74" t="s">
        <v>175</v>
      </c>
      <c r="C34" s="15">
        <f>CENTRALA!C15+'Razem OW'!C15</f>
        <v>287135</v>
      </c>
      <c r="D34" s="15">
        <f>CENTRALA!D15+'Razem OW'!D15</f>
        <v>287135</v>
      </c>
      <c r="E34" s="137" t="str">
        <f>IF(C34=D34,"-",D34-C34)</f>
        <v>-</v>
      </c>
      <c r="F34" s="94">
        <f>IF(C34=0,"-",D34/C34)</f>
        <v>1</v>
      </c>
      <c r="G34" s="151"/>
      <c r="H34" s="117"/>
    </row>
    <row r="35" spans="1:8" ht="30" customHeight="1">
      <c r="A35" s="72" t="s">
        <v>8</v>
      </c>
      <c r="B35" s="74" t="s">
        <v>168</v>
      </c>
      <c r="C35" s="15">
        <f>CENTRALA!C16+'Razem OW'!C16</f>
        <v>1731465</v>
      </c>
      <c r="D35" s="15">
        <f>CENTRALA!D16+'Razem OW'!D16</f>
        <v>1731465</v>
      </c>
      <c r="E35" s="137" t="str">
        <f t="shared" si="0"/>
        <v>-</v>
      </c>
      <c r="F35" s="94">
        <f t="shared" si="1"/>
        <v>1</v>
      </c>
      <c r="G35" s="151"/>
      <c r="H35" s="117"/>
    </row>
    <row r="36" spans="1:8" ht="30" customHeight="1">
      <c r="A36" s="72" t="s">
        <v>9</v>
      </c>
      <c r="B36" s="74" t="s">
        <v>169</v>
      </c>
      <c r="C36" s="15">
        <f>CENTRALA!C17+'Razem OW'!C17</f>
        <v>551438</v>
      </c>
      <c r="D36" s="15">
        <f>CENTRALA!D17+'Razem OW'!D17</f>
        <v>551438</v>
      </c>
      <c r="E36" s="137" t="str">
        <f t="shared" si="0"/>
        <v>-</v>
      </c>
      <c r="F36" s="94">
        <f t="shared" si="1"/>
        <v>1</v>
      </c>
      <c r="G36" s="151"/>
      <c r="H36" s="117"/>
    </row>
    <row r="37" spans="1:8" ht="30" customHeight="1">
      <c r="A37" s="72" t="s">
        <v>10</v>
      </c>
      <c r="B37" s="74" t="s">
        <v>177</v>
      </c>
      <c r="C37" s="15">
        <f>CENTRALA!C18+'Razem OW'!C18</f>
        <v>37614</v>
      </c>
      <c r="D37" s="15">
        <f>CENTRALA!D18+'Razem OW'!D18</f>
        <v>37614</v>
      </c>
      <c r="E37" s="137" t="str">
        <f t="shared" si="0"/>
        <v>-</v>
      </c>
      <c r="F37" s="94">
        <f t="shared" si="1"/>
        <v>1</v>
      </c>
      <c r="G37" s="151"/>
      <c r="H37" s="117"/>
    </row>
    <row r="38" spans="1:8" ht="30" customHeight="1">
      <c r="A38" s="72" t="s">
        <v>11</v>
      </c>
      <c r="B38" s="74" t="s">
        <v>170</v>
      </c>
      <c r="C38" s="15">
        <f>CENTRALA!C19+'Razem OW'!C19</f>
        <v>141308</v>
      </c>
      <c r="D38" s="15">
        <f>CENTRALA!D19+'Razem OW'!D19</f>
        <v>141308</v>
      </c>
      <c r="E38" s="137" t="str">
        <f t="shared" si="0"/>
        <v>-</v>
      </c>
      <c r="F38" s="94">
        <f t="shared" si="1"/>
        <v>1</v>
      </c>
      <c r="G38" s="151"/>
      <c r="H38" s="117"/>
    </row>
    <row r="39" spans="1:8" ht="30" customHeight="1">
      <c r="A39" s="72" t="s">
        <v>12</v>
      </c>
      <c r="B39" s="74" t="s">
        <v>171</v>
      </c>
      <c r="C39" s="15">
        <f>CENTRALA!C20+'Razem OW'!C20</f>
        <v>1407696</v>
      </c>
      <c r="D39" s="15">
        <f>CENTRALA!D20+'Razem OW'!D20</f>
        <v>1407696</v>
      </c>
      <c r="E39" s="137" t="str">
        <f t="shared" si="0"/>
        <v>-</v>
      </c>
      <c r="F39" s="94">
        <f t="shared" si="1"/>
        <v>1</v>
      </c>
      <c r="G39" s="151"/>
      <c r="H39" s="117"/>
    </row>
    <row r="40" spans="1:8" ht="30" customHeight="1">
      <c r="A40" s="72" t="s">
        <v>14</v>
      </c>
      <c r="B40" s="74" t="s">
        <v>13</v>
      </c>
      <c r="C40" s="15">
        <f>CENTRALA!C21+'Razem OW'!C21</f>
        <v>598542</v>
      </c>
      <c r="D40" s="15">
        <f>CENTRALA!D21+'Razem OW'!D21</f>
        <v>598542</v>
      </c>
      <c r="E40" s="137" t="str">
        <f t="shared" si="0"/>
        <v>-</v>
      </c>
      <c r="F40" s="94">
        <f t="shared" si="1"/>
        <v>1</v>
      </c>
      <c r="G40" s="151"/>
      <c r="H40" s="117"/>
    </row>
    <row r="41" spans="1:8" ht="30" customHeight="1">
      <c r="A41" s="72" t="s">
        <v>15</v>
      </c>
      <c r="B41" s="74" t="s">
        <v>173</v>
      </c>
      <c r="C41" s="15">
        <f>CENTRALA!C22+'Razem OW'!C22</f>
        <v>8530595</v>
      </c>
      <c r="D41" s="15">
        <f>CENTRALA!D22+'Razem OW'!D22</f>
        <v>8530595</v>
      </c>
      <c r="E41" s="137" t="str">
        <f t="shared" si="0"/>
        <v>-</v>
      </c>
      <c r="F41" s="94">
        <f t="shared" si="1"/>
        <v>1</v>
      </c>
      <c r="G41" s="151"/>
      <c r="H41" s="117"/>
    </row>
    <row r="42" spans="1:8" ht="30" customHeight="1">
      <c r="A42" s="72" t="s">
        <v>178</v>
      </c>
      <c r="B42" s="73" t="s">
        <v>66</v>
      </c>
      <c r="C42" s="15">
        <f>CENTRALA!C23+'Razem OW'!C23</f>
        <v>25940</v>
      </c>
      <c r="D42" s="15">
        <f>CENTRALA!D23+'Razem OW'!D23</f>
        <v>25940</v>
      </c>
      <c r="E42" s="137" t="str">
        <f t="shared" si="0"/>
        <v>-</v>
      </c>
      <c r="F42" s="94">
        <f t="shared" si="1"/>
        <v>1</v>
      </c>
      <c r="G42" s="151"/>
      <c r="H42" s="117"/>
    </row>
    <row r="43" spans="1:8" ht="36" customHeight="1">
      <c r="A43" s="72" t="s">
        <v>16</v>
      </c>
      <c r="B43" s="74" t="s">
        <v>140</v>
      </c>
      <c r="C43" s="15">
        <f>CENTRALA!C24+'Razem OW'!C24</f>
        <v>416384</v>
      </c>
      <c r="D43" s="15">
        <f>CENTRALA!D24+'Razem OW'!D24</f>
        <v>416384</v>
      </c>
      <c r="E43" s="137" t="str">
        <f t="shared" si="0"/>
        <v>-</v>
      </c>
      <c r="F43" s="94">
        <f t="shared" si="1"/>
        <v>1</v>
      </c>
      <c r="G43" s="151"/>
      <c r="H43" s="117"/>
    </row>
    <row r="44" spans="1:8" ht="30" customHeight="1">
      <c r="A44" s="72" t="s">
        <v>137</v>
      </c>
      <c r="B44" s="74" t="s">
        <v>60</v>
      </c>
      <c r="C44" s="15">
        <f>CENTRALA!C25+'Razem OW'!C25</f>
        <v>11000</v>
      </c>
      <c r="D44" s="15">
        <f>CENTRALA!D25+'Razem OW'!D25</f>
        <v>11000</v>
      </c>
      <c r="E44" s="137" t="str">
        <f t="shared" si="0"/>
        <v>-</v>
      </c>
      <c r="F44" s="94">
        <f t="shared" si="1"/>
        <v>1</v>
      </c>
      <c r="G44" s="151"/>
      <c r="H44" s="117"/>
    </row>
    <row r="45" spans="1:8" ht="30" customHeight="1">
      <c r="A45" s="72" t="s">
        <v>138</v>
      </c>
      <c r="B45" s="74" t="s">
        <v>141</v>
      </c>
      <c r="C45" s="15">
        <f>CENTRALA!C26+'Razem OW'!C26</f>
        <v>0</v>
      </c>
      <c r="D45" s="15">
        <f>CENTRALA!D26+'Razem OW'!D26</f>
        <v>0</v>
      </c>
      <c r="E45" s="137" t="str">
        <f t="shared" si="0"/>
        <v>-</v>
      </c>
      <c r="F45" s="94" t="str">
        <f t="shared" si="1"/>
        <v>-</v>
      </c>
      <c r="G45" s="151"/>
      <c r="H45" s="117"/>
    </row>
    <row r="46" spans="1:8" ht="30" customHeight="1">
      <c r="A46" s="72" t="s">
        <v>139</v>
      </c>
      <c r="B46" s="74" t="s">
        <v>142</v>
      </c>
      <c r="C46" s="15">
        <f>CENTRALA!C27+'Razem OW'!C27</f>
        <v>395569</v>
      </c>
      <c r="D46" s="15">
        <f>CENTRALA!D27+'Razem OW'!D27</f>
        <v>395569</v>
      </c>
      <c r="E46" s="137" t="str">
        <f aca="true" t="shared" si="2" ref="E46:E91">IF(C46=D46,"-",D46-C46)</f>
        <v>-</v>
      </c>
      <c r="F46" s="94">
        <f aca="true" t="shared" si="3" ref="F46:F91">IF(C46=0,"-",D46/C46)</f>
        <v>1</v>
      </c>
      <c r="G46" s="151"/>
      <c r="H46" s="117"/>
    </row>
    <row r="47" spans="1:86" s="14" customFormat="1" ht="30.75" customHeight="1">
      <c r="A47" s="44" t="s">
        <v>68</v>
      </c>
      <c r="B47" s="75" t="s">
        <v>115</v>
      </c>
      <c r="C47" s="29">
        <f>CENTRALA!C28+'Razem OW'!C28</f>
        <v>0</v>
      </c>
      <c r="D47" s="29">
        <f>CENTRALA!D28+'Razem OW'!D28</f>
        <v>0</v>
      </c>
      <c r="E47" s="29" t="str">
        <f t="shared" si="2"/>
        <v>-</v>
      </c>
      <c r="F47" s="96" t="str">
        <f t="shared" si="3"/>
        <v>-</v>
      </c>
      <c r="G47" s="150"/>
      <c r="H47" s="117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</row>
    <row r="48" spans="1:86" s="14" customFormat="1" ht="30.75" customHeight="1">
      <c r="A48" s="44" t="s">
        <v>67</v>
      </c>
      <c r="B48" s="75" t="s">
        <v>70</v>
      </c>
      <c r="C48" s="13">
        <f>CENTRALA!C29+'Razem OW'!C29</f>
        <v>1730500</v>
      </c>
      <c r="D48" s="13">
        <f>CENTRALA!D29+'Razem OW'!D29</f>
        <v>1730500</v>
      </c>
      <c r="E48" s="13" t="str">
        <f t="shared" si="2"/>
        <v>-</v>
      </c>
      <c r="F48" s="93">
        <f t="shared" si="3"/>
        <v>1</v>
      </c>
      <c r="G48" s="150"/>
      <c r="H48" s="117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</row>
    <row r="49" spans="1:86" s="14" customFormat="1" ht="33" customHeight="1">
      <c r="A49" s="63" t="s">
        <v>184</v>
      </c>
      <c r="B49" s="64" t="s">
        <v>150</v>
      </c>
      <c r="C49" s="13">
        <f>C19-C24</f>
        <v>-1241147</v>
      </c>
      <c r="D49" s="13">
        <f>D19-D24</f>
        <v>-1346170</v>
      </c>
      <c r="E49" s="13">
        <f t="shared" si="2"/>
        <v>-105023</v>
      </c>
      <c r="F49" s="93">
        <f t="shared" si="3"/>
        <v>1.0846</v>
      </c>
      <c r="G49" s="150"/>
      <c r="H49" s="117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</row>
    <row r="50" spans="1:86" s="14" customFormat="1" ht="33" customHeight="1">
      <c r="A50" s="63" t="s">
        <v>185</v>
      </c>
      <c r="B50" s="64" t="s">
        <v>149</v>
      </c>
      <c r="C50" s="13">
        <f>C51+C52+C53+C61+C62+C67+C68+C69+C70</f>
        <v>646907</v>
      </c>
      <c r="D50" s="13">
        <f>D51+D52+D53+D61+D62+D67+D68+D69+D70</f>
        <v>646907</v>
      </c>
      <c r="E50" s="13" t="str">
        <f t="shared" si="2"/>
        <v>-</v>
      </c>
      <c r="F50" s="93">
        <f t="shared" si="3"/>
        <v>1</v>
      </c>
      <c r="G50" s="150"/>
      <c r="H50" s="117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</row>
    <row r="51" spans="1:8" ht="30" customHeight="1">
      <c r="A51" s="65" t="s">
        <v>19</v>
      </c>
      <c r="B51" s="61" t="s">
        <v>20</v>
      </c>
      <c r="C51" s="15">
        <f>CENTRALA!C31+'Razem OW'!C31</f>
        <v>21568</v>
      </c>
      <c r="D51" s="15">
        <f>CENTRALA!D31+'Razem OW'!D31</f>
        <v>21568</v>
      </c>
      <c r="E51" s="15" t="str">
        <f t="shared" si="2"/>
        <v>-</v>
      </c>
      <c r="F51" s="94">
        <f t="shared" si="3"/>
        <v>1</v>
      </c>
      <c r="G51" s="151"/>
      <c r="H51" s="117"/>
    </row>
    <row r="52" spans="1:8" ht="30" customHeight="1">
      <c r="A52" s="65" t="s">
        <v>21</v>
      </c>
      <c r="B52" s="61" t="s">
        <v>22</v>
      </c>
      <c r="C52" s="15">
        <f>CENTRALA!C32+'Razem OW'!C32</f>
        <v>132865</v>
      </c>
      <c r="D52" s="15">
        <f>CENTRALA!D32+'Razem OW'!D32</f>
        <v>132865</v>
      </c>
      <c r="E52" s="15" t="str">
        <f t="shared" si="2"/>
        <v>-</v>
      </c>
      <c r="F52" s="94">
        <f t="shared" si="3"/>
        <v>1</v>
      </c>
      <c r="G52" s="151"/>
      <c r="H52" s="117"/>
    </row>
    <row r="53" spans="1:8" ht="30" customHeight="1">
      <c r="A53" s="65" t="s">
        <v>23</v>
      </c>
      <c r="B53" s="76" t="s">
        <v>37</v>
      </c>
      <c r="C53" s="15">
        <f>C54+C56+C57+C58+C59+C60</f>
        <v>3815</v>
      </c>
      <c r="D53" s="15">
        <f>D54+D56+D57+D58+D59+D60</f>
        <v>3815</v>
      </c>
      <c r="E53" s="15" t="str">
        <f t="shared" si="2"/>
        <v>-</v>
      </c>
      <c r="F53" s="94">
        <f t="shared" si="3"/>
        <v>1</v>
      </c>
      <c r="G53" s="151"/>
      <c r="H53" s="117"/>
    </row>
    <row r="54" spans="1:8" s="17" customFormat="1" ht="30" customHeight="1">
      <c r="A54" s="77" t="s">
        <v>45</v>
      </c>
      <c r="B54" s="78" t="s">
        <v>38</v>
      </c>
      <c r="C54" s="15">
        <f>CENTRALA!C34+'Razem OW'!C34</f>
        <v>471</v>
      </c>
      <c r="D54" s="15">
        <f>CENTRALA!D34+'Razem OW'!D34</f>
        <v>471</v>
      </c>
      <c r="E54" s="15" t="str">
        <f t="shared" si="2"/>
        <v>-</v>
      </c>
      <c r="F54" s="94">
        <f t="shared" si="3"/>
        <v>1</v>
      </c>
      <c r="G54" s="152"/>
      <c r="H54" s="117"/>
    </row>
    <row r="55" spans="1:8" s="17" customFormat="1" ht="30" customHeight="1">
      <c r="A55" s="77" t="s">
        <v>46</v>
      </c>
      <c r="B55" s="79" t="s">
        <v>39</v>
      </c>
      <c r="C55" s="15">
        <f>CENTRALA!C35+'Razem OW'!C35</f>
        <v>448</v>
      </c>
      <c r="D55" s="15">
        <f>CENTRALA!D35+'Razem OW'!D35</f>
        <v>448</v>
      </c>
      <c r="E55" s="15" t="str">
        <f t="shared" si="2"/>
        <v>-</v>
      </c>
      <c r="F55" s="94">
        <f t="shared" si="3"/>
        <v>1</v>
      </c>
      <c r="G55" s="152"/>
      <c r="H55" s="117"/>
    </row>
    <row r="56" spans="1:8" s="17" customFormat="1" ht="30" customHeight="1">
      <c r="A56" s="77" t="s">
        <v>47</v>
      </c>
      <c r="B56" s="78" t="s">
        <v>40</v>
      </c>
      <c r="C56" s="15">
        <f>CENTRALA!C36+'Razem OW'!C36</f>
        <v>121</v>
      </c>
      <c r="D56" s="15">
        <f>CENTRALA!D36+'Razem OW'!D36</f>
        <v>121</v>
      </c>
      <c r="E56" s="15" t="str">
        <f t="shared" si="2"/>
        <v>-</v>
      </c>
      <c r="F56" s="94">
        <f t="shared" si="3"/>
        <v>1</v>
      </c>
      <c r="G56" s="152"/>
      <c r="H56" s="117"/>
    </row>
    <row r="57" spans="1:8" s="17" customFormat="1" ht="30" customHeight="1">
      <c r="A57" s="77" t="s">
        <v>48</v>
      </c>
      <c r="B57" s="78" t="s">
        <v>41</v>
      </c>
      <c r="C57" s="15">
        <f>CENTRALA!C37+'Razem OW'!C37</f>
        <v>18</v>
      </c>
      <c r="D57" s="15">
        <f>CENTRALA!D37+'Razem OW'!D37</f>
        <v>18</v>
      </c>
      <c r="E57" s="15" t="str">
        <f t="shared" si="2"/>
        <v>-</v>
      </c>
      <c r="F57" s="94">
        <f t="shared" si="3"/>
        <v>1</v>
      </c>
      <c r="G57" s="152"/>
      <c r="H57" s="117"/>
    </row>
    <row r="58" spans="1:8" s="17" customFormat="1" ht="30" customHeight="1">
      <c r="A58" s="77" t="s">
        <v>49</v>
      </c>
      <c r="B58" s="78" t="s">
        <v>42</v>
      </c>
      <c r="C58" s="15">
        <f>CENTRALA!C38+'Razem OW'!C38</f>
        <v>0</v>
      </c>
      <c r="D58" s="15">
        <f>CENTRALA!D38+'Razem OW'!D38</f>
        <v>0</v>
      </c>
      <c r="E58" s="15" t="str">
        <f t="shared" si="2"/>
        <v>-</v>
      </c>
      <c r="F58" s="94" t="str">
        <f t="shared" si="3"/>
        <v>-</v>
      </c>
      <c r="G58" s="152"/>
      <c r="H58" s="117"/>
    </row>
    <row r="59" spans="1:8" s="17" customFormat="1" ht="30" customHeight="1">
      <c r="A59" s="77" t="s">
        <v>50</v>
      </c>
      <c r="B59" s="78" t="s">
        <v>43</v>
      </c>
      <c r="C59" s="15">
        <f>CENTRALA!C39+'Razem OW'!C39</f>
        <v>2992</v>
      </c>
      <c r="D59" s="15">
        <f>CENTRALA!D39+'Razem OW'!D39</f>
        <v>2992</v>
      </c>
      <c r="E59" s="15" t="str">
        <f t="shared" si="2"/>
        <v>-</v>
      </c>
      <c r="F59" s="94">
        <f t="shared" si="3"/>
        <v>1</v>
      </c>
      <c r="G59" s="152"/>
      <c r="H59" s="117"/>
    </row>
    <row r="60" spans="1:8" s="18" customFormat="1" ht="30" customHeight="1">
      <c r="A60" s="77" t="s">
        <v>51</v>
      </c>
      <c r="B60" s="78" t="s">
        <v>44</v>
      </c>
      <c r="C60" s="15">
        <f>CENTRALA!C40+'Razem OW'!C40</f>
        <v>213</v>
      </c>
      <c r="D60" s="15">
        <f>CENTRALA!D40+'Razem OW'!D40</f>
        <v>213</v>
      </c>
      <c r="E60" s="15" t="str">
        <f t="shared" si="2"/>
        <v>-</v>
      </c>
      <c r="F60" s="94">
        <f t="shared" si="3"/>
        <v>1</v>
      </c>
      <c r="G60" s="153"/>
      <c r="H60" s="117"/>
    </row>
    <row r="61" spans="1:8" ht="30" customHeight="1">
      <c r="A61" s="43" t="s">
        <v>24</v>
      </c>
      <c r="B61" s="61" t="s">
        <v>25</v>
      </c>
      <c r="C61" s="15">
        <f>CENTRALA!C41+'Razem OW'!C41</f>
        <v>300385</v>
      </c>
      <c r="D61" s="15">
        <f>CENTRALA!D41+'Razem OW'!D41</f>
        <v>300385</v>
      </c>
      <c r="E61" s="15" t="str">
        <f t="shared" si="2"/>
        <v>-</v>
      </c>
      <c r="F61" s="94">
        <f t="shared" si="3"/>
        <v>1</v>
      </c>
      <c r="G61" s="151"/>
      <c r="H61" s="117"/>
    </row>
    <row r="62" spans="1:8" ht="30" customHeight="1">
      <c r="A62" s="65" t="s">
        <v>26</v>
      </c>
      <c r="B62" s="70" t="s">
        <v>61</v>
      </c>
      <c r="C62" s="15">
        <f>SUM(C63:C66)</f>
        <v>61569</v>
      </c>
      <c r="D62" s="15">
        <f>SUM(D63:D66)</f>
        <v>61569</v>
      </c>
      <c r="E62" s="15" t="str">
        <f t="shared" si="2"/>
        <v>-</v>
      </c>
      <c r="F62" s="94">
        <f t="shared" si="3"/>
        <v>1</v>
      </c>
      <c r="G62" s="151"/>
      <c r="H62" s="117"/>
    </row>
    <row r="63" spans="1:8" s="17" customFormat="1" ht="30" customHeight="1">
      <c r="A63" s="77" t="s">
        <v>56</v>
      </c>
      <c r="B63" s="78" t="s">
        <v>52</v>
      </c>
      <c r="C63" s="15">
        <f>CENTRALA!C43+'Razem OW'!C43</f>
        <v>45396</v>
      </c>
      <c r="D63" s="15">
        <f>CENTRALA!D43+'Razem OW'!D43</f>
        <v>45396</v>
      </c>
      <c r="E63" s="15" t="str">
        <f t="shared" si="2"/>
        <v>-</v>
      </c>
      <c r="F63" s="94">
        <f t="shared" si="3"/>
        <v>1</v>
      </c>
      <c r="G63" s="152"/>
      <c r="H63" s="117"/>
    </row>
    <row r="64" spans="1:8" s="17" customFormat="1" ht="30" customHeight="1">
      <c r="A64" s="77" t="s">
        <v>57</v>
      </c>
      <c r="B64" s="78" t="s">
        <v>53</v>
      </c>
      <c r="C64" s="15">
        <f>CENTRALA!C44+'Razem OW'!C44</f>
        <v>7358</v>
      </c>
      <c r="D64" s="15">
        <f>CENTRALA!D44+'Razem OW'!D44</f>
        <v>7358</v>
      </c>
      <c r="E64" s="15" t="str">
        <f t="shared" si="2"/>
        <v>-</v>
      </c>
      <c r="F64" s="94">
        <f t="shared" si="3"/>
        <v>1</v>
      </c>
      <c r="G64" s="152"/>
      <c r="H64" s="117"/>
    </row>
    <row r="65" spans="1:8" s="17" customFormat="1" ht="30" customHeight="1">
      <c r="A65" s="77" t="s">
        <v>58</v>
      </c>
      <c r="B65" s="78" t="s">
        <v>54</v>
      </c>
      <c r="C65" s="15">
        <f>CENTRALA!C45+'Razem OW'!C45</f>
        <v>0</v>
      </c>
      <c r="D65" s="15">
        <f>CENTRALA!D45+'Razem OW'!D45</f>
        <v>0</v>
      </c>
      <c r="E65" s="15" t="str">
        <f t="shared" si="2"/>
        <v>-</v>
      </c>
      <c r="F65" s="94" t="str">
        <f t="shared" si="3"/>
        <v>-</v>
      </c>
      <c r="G65" s="152"/>
      <c r="H65" s="117"/>
    </row>
    <row r="66" spans="1:8" s="17" customFormat="1" ht="30" customHeight="1">
      <c r="A66" s="77" t="s">
        <v>59</v>
      </c>
      <c r="B66" s="78" t="s">
        <v>55</v>
      </c>
      <c r="C66" s="15">
        <f>CENTRALA!C46+'Razem OW'!C46</f>
        <v>8815</v>
      </c>
      <c r="D66" s="15">
        <f>CENTRALA!D46+'Razem OW'!D46</f>
        <v>8815</v>
      </c>
      <c r="E66" s="15" t="str">
        <f t="shared" si="2"/>
        <v>-</v>
      </c>
      <c r="F66" s="94">
        <f t="shared" si="3"/>
        <v>1</v>
      </c>
      <c r="G66" s="152"/>
      <c r="H66" s="117"/>
    </row>
    <row r="67" spans="1:8" ht="30" customHeight="1">
      <c r="A67" s="65" t="s">
        <v>27</v>
      </c>
      <c r="B67" s="66" t="s">
        <v>28</v>
      </c>
      <c r="C67" s="15">
        <f>CENTRALA!C47+'Razem OW'!C47</f>
        <v>200</v>
      </c>
      <c r="D67" s="15">
        <f>CENTRALA!D47+'Razem OW'!D47</f>
        <v>200</v>
      </c>
      <c r="E67" s="15" t="str">
        <f t="shared" si="2"/>
        <v>-</v>
      </c>
      <c r="F67" s="94">
        <f t="shared" si="3"/>
        <v>1</v>
      </c>
      <c r="G67" s="151"/>
      <c r="H67" s="117"/>
    </row>
    <row r="68" spans="1:8" ht="42" customHeight="1">
      <c r="A68" s="65" t="s">
        <v>29</v>
      </c>
      <c r="B68" s="66" t="s">
        <v>116</v>
      </c>
      <c r="C68" s="15">
        <f>CENTRALA!C48+'Razem OW'!C48</f>
        <v>116482</v>
      </c>
      <c r="D68" s="15">
        <f>CENTRALA!D48+'Razem OW'!D48</f>
        <v>116482</v>
      </c>
      <c r="E68" s="15" t="str">
        <f t="shared" si="2"/>
        <v>-</v>
      </c>
      <c r="F68" s="94">
        <f t="shared" si="3"/>
        <v>1</v>
      </c>
      <c r="G68" s="151"/>
      <c r="H68" s="117"/>
    </row>
    <row r="69" spans="1:8" ht="42" customHeight="1">
      <c r="A69" s="65" t="s">
        <v>30</v>
      </c>
      <c r="B69" s="66" t="s">
        <v>31</v>
      </c>
      <c r="C69" s="15">
        <f>CENTRALA!C49+'Razem OW'!C49</f>
        <v>4308</v>
      </c>
      <c r="D69" s="15">
        <f>CENTRALA!D49+'Razem OW'!D49</f>
        <v>4308</v>
      </c>
      <c r="E69" s="15" t="str">
        <f t="shared" si="2"/>
        <v>-</v>
      </c>
      <c r="F69" s="94">
        <f t="shared" si="3"/>
        <v>1</v>
      </c>
      <c r="G69" s="151"/>
      <c r="H69" s="117"/>
    </row>
    <row r="70" spans="1:8" ht="30" customHeight="1">
      <c r="A70" s="65" t="s">
        <v>32</v>
      </c>
      <c r="B70" s="66" t="s">
        <v>33</v>
      </c>
      <c r="C70" s="15">
        <f>CENTRALA!C50+'Razem OW'!C50</f>
        <v>5715</v>
      </c>
      <c r="D70" s="15">
        <f>CENTRALA!D50+'Razem OW'!D50</f>
        <v>5715</v>
      </c>
      <c r="E70" s="15" t="str">
        <f t="shared" si="2"/>
        <v>-</v>
      </c>
      <c r="F70" s="94">
        <f t="shared" si="3"/>
        <v>1</v>
      </c>
      <c r="G70" s="151"/>
      <c r="H70" s="117"/>
    </row>
    <row r="71" spans="1:86" s="14" customFormat="1" ht="33" customHeight="1">
      <c r="A71" s="80" t="s">
        <v>186</v>
      </c>
      <c r="B71" s="81" t="s">
        <v>189</v>
      </c>
      <c r="C71" s="13">
        <f>SUM(C72:C73)</f>
        <v>4488</v>
      </c>
      <c r="D71" s="13">
        <f>SUM(D72:D73)</f>
        <v>133056</v>
      </c>
      <c r="E71" s="13">
        <f t="shared" si="2"/>
        <v>128568</v>
      </c>
      <c r="F71" s="93">
        <f t="shared" si="3"/>
        <v>29.6471</v>
      </c>
      <c r="G71" s="150"/>
      <c r="H71" s="117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</row>
    <row r="72" spans="1:8" ht="54" customHeight="1">
      <c r="A72" s="65" t="s">
        <v>117</v>
      </c>
      <c r="B72" s="66" t="s">
        <v>200</v>
      </c>
      <c r="C72" s="15">
        <v>1796</v>
      </c>
      <c r="D72" s="15">
        <f>C72+848</f>
        <v>2644</v>
      </c>
      <c r="E72" s="15">
        <f t="shared" si="2"/>
        <v>848</v>
      </c>
      <c r="F72" s="94">
        <f t="shared" si="3"/>
        <v>1.4722</v>
      </c>
      <c r="G72" s="151"/>
      <c r="H72" s="117"/>
    </row>
    <row r="73" spans="1:8" ht="30" customHeight="1">
      <c r="A73" s="65" t="s">
        <v>153</v>
      </c>
      <c r="B73" s="70" t="s">
        <v>118</v>
      </c>
      <c r="C73" s="15">
        <v>2692</v>
      </c>
      <c r="D73" s="15">
        <f>C73+127720</f>
        <v>130412</v>
      </c>
      <c r="E73" s="15">
        <f t="shared" si="2"/>
        <v>127720</v>
      </c>
      <c r="F73" s="94">
        <f t="shared" si="3"/>
        <v>48.4443</v>
      </c>
      <c r="G73" s="151"/>
      <c r="H73" s="117"/>
    </row>
    <row r="74" spans="1:86" s="14" customFormat="1" ht="33" customHeight="1">
      <c r="A74" s="80" t="s">
        <v>190</v>
      </c>
      <c r="B74" s="81" t="s">
        <v>187</v>
      </c>
      <c r="C74" s="13">
        <f>C75+C76+C77+C78</f>
        <v>343744</v>
      </c>
      <c r="D74" s="13">
        <f>D75+D76+D77+D78</f>
        <v>368506</v>
      </c>
      <c r="E74" s="13">
        <f t="shared" si="2"/>
        <v>24762</v>
      </c>
      <c r="F74" s="93">
        <f t="shared" si="3"/>
        <v>1.072</v>
      </c>
      <c r="G74" s="150"/>
      <c r="H74" s="117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</row>
    <row r="75" spans="1:8" ht="47.25" customHeight="1">
      <c r="A75" s="65" t="s">
        <v>119</v>
      </c>
      <c r="B75" s="66" t="s">
        <v>144</v>
      </c>
      <c r="C75" s="15">
        <v>92674</v>
      </c>
      <c r="D75" s="15">
        <f>CENTRALA!D52+'Razem OW'!D52</f>
        <v>87101</v>
      </c>
      <c r="E75" s="15">
        <f t="shared" si="2"/>
        <v>-5573</v>
      </c>
      <c r="F75" s="94">
        <f t="shared" si="3"/>
        <v>0.9399</v>
      </c>
      <c r="G75" s="151"/>
      <c r="H75" s="117"/>
    </row>
    <row r="76" spans="1:8" ht="33.75" customHeight="1">
      <c r="A76" s="65" t="s">
        <v>35</v>
      </c>
      <c r="B76" s="66" t="s">
        <v>63</v>
      </c>
      <c r="C76" s="15">
        <v>236119</v>
      </c>
      <c r="D76" s="15">
        <f>CENTRALA!D53+'Razem OW'!D53</f>
        <v>249953</v>
      </c>
      <c r="E76" s="15">
        <f t="shared" si="2"/>
        <v>13834</v>
      </c>
      <c r="F76" s="94">
        <f t="shared" si="3"/>
        <v>1.0586</v>
      </c>
      <c r="G76" s="151"/>
      <c r="H76" s="117"/>
    </row>
    <row r="77" spans="1:8" ht="30" customHeight="1">
      <c r="A77" s="65" t="s">
        <v>36</v>
      </c>
      <c r="B77" s="66" t="s">
        <v>121</v>
      </c>
      <c r="C77" s="15">
        <v>0</v>
      </c>
      <c r="D77" s="15">
        <f>CENTRALA!D54+'Razem OW'!D54</f>
        <v>0</v>
      </c>
      <c r="E77" s="15" t="str">
        <f t="shared" si="2"/>
        <v>-</v>
      </c>
      <c r="F77" s="94" t="str">
        <f t="shared" si="3"/>
        <v>-</v>
      </c>
      <c r="G77" s="151"/>
      <c r="H77" s="117"/>
    </row>
    <row r="78" spans="1:8" ht="30" customHeight="1">
      <c r="A78" s="65" t="s">
        <v>120</v>
      </c>
      <c r="B78" s="70" t="s">
        <v>122</v>
      </c>
      <c r="C78" s="15">
        <v>14951</v>
      </c>
      <c r="D78" s="15">
        <f>CENTRALA!D55+'Razem OW'!D55</f>
        <v>31452</v>
      </c>
      <c r="E78" s="15">
        <f t="shared" si="2"/>
        <v>16501</v>
      </c>
      <c r="F78" s="94">
        <f t="shared" si="3"/>
        <v>2.1037</v>
      </c>
      <c r="G78" s="151"/>
      <c r="H78" s="117"/>
    </row>
    <row r="79" spans="1:86" s="14" customFormat="1" ht="33" customHeight="1">
      <c r="A79" s="80" t="s">
        <v>191</v>
      </c>
      <c r="B79" s="81" t="s">
        <v>148</v>
      </c>
      <c r="C79" s="13">
        <f>C80+C81</f>
        <v>79462</v>
      </c>
      <c r="D79" s="13">
        <f>D80+D81</f>
        <v>146852</v>
      </c>
      <c r="E79" s="13">
        <f t="shared" si="2"/>
        <v>67390</v>
      </c>
      <c r="F79" s="93">
        <f t="shared" si="3"/>
        <v>1.8481</v>
      </c>
      <c r="G79" s="150"/>
      <c r="H79" s="117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</row>
    <row r="80" spans="1:8" ht="30" customHeight="1">
      <c r="A80" s="65" t="s">
        <v>123</v>
      </c>
      <c r="B80" s="66" t="s">
        <v>124</v>
      </c>
      <c r="C80" s="15">
        <v>79462</v>
      </c>
      <c r="D80" s="15">
        <f>C80+38201</f>
        <v>117663</v>
      </c>
      <c r="E80" s="15">
        <f t="shared" si="2"/>
        <v>38201</v>
      </c>
      <c r="F80" s="94">
        <f t="shared" si="3"/>
        <v>1.4807</v>
      </c>
      <c r="G80" s="151"/>
      <c r="H80" s="117"/>
    </row>
    <row r="81" spans="1:8" ht="30" customHeight="1">
      <c r="A81" s="65" t="s">
        <v>125</v>
      </c>
      <c r="B81" s="70" t="s">
        <v>126</v>
      </c>
      <c r="C81" s="15">
        <v>0</v>
      </c>
      <c r="D81" s="15">
        <f>C81+29189</f>
        <v>29189</v>
      </c>
      <c r="E81" s="15">
        <f t="shared" si="2"/>
        <v>29189</v>
      </c>
      <c r="F81" s="94" t="str">
        <f t="shared" si="3"/>
        <v>-</v>
      </c>
      <c r="G81" s="151"/>
      <c r="H81" s="117"/>
    </row>
    <row r="82" spans="1:86" s="14" customFormat="1" ht="39.75" customHeight="1">
      <c r="A82" s="80" t="s">
        <v>192</v>
      </c>
      <c r="B82" s="81" t="s">
        <v>154</v>
      </c>
      <c r="C82" s="13">
        <f>CENTRALA!C56+'Razem OW'!C56</f>
        <v>68516</v>
      </c>
      <c r="D82" s="13">
        <f>CENTRALA!D56+'Razem OW'!D56</f>
        <v>134689</v>
      </c>
      <c r="E82" s="13">
        <f t="shared" si="2"/>
        <v>66173</v>
      </c>
      <c r="F82" s="93">
        <f t="shared" si="3"/>
        <v>1.9658</v>
      </c>
      <c r="G82" s="150"/>
      <c r="H82" s="117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</row>
    <row r="83" spans="1:86" s="14" customFormat="1" ht="64.5" customHeight="1">
      <c r="A83" s="80" t="s">
        <v>193</v>
      </c>
      <c r="B83" s="81" t="s">
        <v>136</v>
      </c>
      <c r="C83" s="13">
        <f>'[4]NFZ'!$D$83</f>
        <v>-2216364</v>
      </c>
      <c r="D83" s="13">
        <f>D49-D50+D71-D74+D79-D82</f>
        <v>-2216364</v>
      </c>
      <c r="E83" s="13" t="str">
        <f t="shared" si="2"/>
        <v>-</v>
      </c>
      <c r="F83" s="93">
        <f t="shared" si="3"/>
        <v>1</v>
      </c>
      <c r="G83" s="150"/>
      <c r="H83" s="117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</row>
    <row r="84" spans="1:86" s="14" customFormat="1" ht="33" customHeight="1">
      <c r="A84" s="80" t="s">
        <v>194</v>
      </c>
      <c r="B84" s="81" t="s">
        <v>146</v>
      </c>
      <c r="C84" s="13">
        <f>C85-C86</f>
        <v>0</v>
      </c>
      <c r="D84" s="13">
        <f>D85-D86</f>
        <v>0</v>
      </c>
      <c r="E84" s="13" t="str">
        <f t="shared" si="2"/>
        <v>-</v>
      </c>
      <c r="F84" s="93" t="str">
        <f t="shared" si="3"/>
        <v>-</v>
      </c>
      <c r="G84" s="150"/>
      <c r="H84" s="117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</row>
    <row r="85" spans="1:8" ht="30" customHeight="1">
      <c r="A85" s="65" t="s">
        <v>128</v>
      </c>
      <c r="B85" s="66" t="s">
        <v>129</v>
      </c>
      <c r="C85" s="15">
        <v>0</v>
      </c>
      <c r="D85" s="15">
        <f>C85</f>
        <v>0</v>
      </c>
      <c r="E85" s="15" t="str">
        <f t="shared" si="2"/>
        <v>-</v>
      </c>
      <c r="F85" s="94" t="str">
        <f t="shared" si="3"/>
        <v>-</v>
      </c>
      <c r="G85" s="151"/>
      <c r="H85" s="117"/>
    </row>
    <row r="86" spans="1:8" ht="30" customHeight="1">
      <c r="A86" s="65" t="s">
        <v>130</v>
      </c>
      <c r="B86" s="66" t="s">
        <v>131</v>
      </c>
      <c r="C86" s="15">
        <v>0</v>
      </c>
      <c r="D86" s="15">
        <f>C86</f>
        <v>0</v>
      </c>
      <c r="E86" s="15" t="str">
        <f t="shared" si="2"/>
        <v>-</v>
      </c>
      <c r="F86" s="94" t="str">
        <f t="shared" si="3"/>
        <v>-</v>
      </c>
      <c r="G86" s="151"/>
      <c r="H86" s="117"/>
    </row>
    <row r="87" spans="1:8" s="19" customFormat="1" ht="33" customHeight="1">
      <c r="A87" s="80" t="s">
        <v>195</v>
      </c>
      <c r="B87" s="82" t="s">
        <v>147</v>
      </c>
      <c r="C87" s="84">
        <f>C83+C84</f>
        <v>-2216364</v>
      </c>
      <c r="D87" s="84">
        <f>D83+D84</f>
        <v>-2216364</v>
      </c>
      <c r="E87" s="84" t="str">
        <f t="shared" si="2"/>
        <v>-</v>
      </c>
      <c r="F87" s="97">
        <f t="shared" si="3"/>
        <v>1</v>
      </c>
      <c r="G87" s="150"/>
      <c r="H87" s="117"/>
    </row>
    <row r="88" spans="1:8" s="19" customFormat="1" ht="69" customHeight="1">
      <c r="A88" s="80" t="s">
        <v>196</v>
      </c>
      <c r="B88" s="82" t="s">
        <v>132</v>
      </c>
      <c r="C88" s="84">
        <v>0</v>
      </c>
      <c r="D88" s="84">
        <v>0</v>
      </c>
      <c r="E88" s="84" t="str">
        <f t="shared" si="2"/>
        <v>-</v>
      </c>
      <c r="F88" s="97" t="str">
        <f t="shared" si="3"/>
        <v>-</v>
      </c>
      <c r="G88" s="150"/>
      <c r="H88" s="117"/>
    </row>
    <row r="89" spans="1:8" s="19" customFormat="1" ht="33" customHeight="1">
      <c r="A89" s="80" t="s">
        <v>197</v>
      </c>
      <c r="B89" s="82" t="s">
        <v>155</v>
      </c>
      <c r="C89" s="84">
        <f>C87-C88</f>
        <v>-2216364</v>
      </c>
      <c r="D89" s="84">
        <f>D87-D88</f>
        <v>-2216364</v>
      </c>
      <c r="E89" s="84" t="str">
        <f t="shared" si="2"/>
        <v>-</v>
      </c>
      <c r="F89" s="97">
        <f t="shared" si="3"/>
        <v>1</v>
      </c>
      <c r="G89" s="150"/>
      <c r="H89" s="117"/>
    </row>
    <row r="90" spans="1:8" s="19" customFormat="1" ht="33" customHeight="1">
      <c r="A90" s="63" t="s">
        <v>198</v>
      </c>
      <c r="B90" s="83" t="s">
        <v>133</v>
      </c>
      <c r="C90" s="84">
        <f>C7+C13+C20+C21+C22+C23+C71+C79</f>
        <v>57725664</v>
      </c>
      <c r="D90" s="84">
        <f>D7+D13+D20+D21+D22+D23+D71+D79</f>
        <v>57816389</v>
      </c>
      <c r="E90" s="84">
        <f t="shared" si="2"/>
        <v>90725</v>
      </c>
      <c r="F90" s="97">
        <f t="shared" si="3"/>
        <v>1.0016</v>
      </c>
      <c r="G90" s="150"/>
      <c r="H90" s="117"/>
    </row>
    <row r="91" spans="1:8" s="19" customFormat="1" ht="33" customHeight="1">
      <c r="A91" s="80" t="s">
        <v>199</v>
      </c>
      <c r="B91" s="82" t="s">
        <v>134</v>
      </c>
      <c r="C91" s="84">
        <f>C10+C16+C25+C26+C47+C48+C50+C74+C82</f>
        <v>59942028</v>
      </c>
      <c r="D91" s="84">
        <f>D10+D16+D25+D26+D47+D48+D50+D74+D82</f>
        <v>60032753</v>
      </c>
      <c r="E91" s="84">
        <f t="shared" si="2"/>
        <v>90725</v>
      </c>
      <c r="F91" s="97">
        <f t="shared" si="3"/>
        <v>1.0015</v>
      </c>
      <c r="G91" s="150"/>
      <c r="H91" s="117"/>
    </row>
    <row r="92" spans="1:3" ht="26.25">
      <c r="A92" s="20"/>
      <c r="B92" s="21"/>
      <c r="C92" s="22"/>
    </row>
    <row r="93" spans="1:3" ht="25.5">
      <c r="A93" s="24"/>
      <c r="B93" s="21"/>
      <c r="C93" s="25"/>
    </row>
    <row r="94" spans="1:3" ht="25.5">
      <c r="A94" s="20"/>
      <c r="B94" s="21"/>
      <c r="C94" s="25"/>
    </row>
    <row r="95" spans="1:3" ht="25.5">
      <c r="A95" s="20"/>
      <c r="B95" s="21"/>
      <c r="C95" s="25"/>
    </row>
    <row r="96" spans="1:3" ht="25.5">
      <c r="A96" s="20"/>
      <c r="B96" s="21"/>
      <c r="C96" s="26"/>
    </row>
    <row r="97" spans="1:3" ht="26.25">
      <c r="A97" s="20"/>
      <c r="B97" s="21"/>
      <c r="C97" s="27"/>
    </row>
    <row r="98" spans="1:3" ht="26.25">
      <c r="A98" s="20"/>
      <c r="B98" s="21"/>
      <c r="C98" s="23"/>
    </row>
    <row r="99" spans="1:3" ht="26.25">
      <c r="A99" s="20"/>
      <c r="B99" s="21"/>
      <c r="C99" s="23"/>
    </row>
    <row r="100" spans="1:3" ht="26.25">
      <c r="A100" s="20"/>
      <c r="B100" s="21"/>
      <c r="C100" s="23"/>
    </row>
    <row r="101" spans="1:3" ht="26.25">
      <c r="A101" s="20"/>
      <c r="B101" s="21"/>
      <c r="C101" s="23"/>
    </row>
    <row r="102" spans="1:3" ht="26.25">
      <c r="A102" s="20"/>
      <c r="B102" s="21"/>
      <c r="C102" s="23"/>
    </row>
    <row r="103" spans="1:3" ht="26.25">
      <c r="A103" s="20"/>
      <c r="B103" s="21"/>
      <c r="C103" s="23"/>
    </row>
    <row r="104" spans="1:3" ht="26.25">
      <c r="A104" s="20"/>
      <c r="B104" s="21"/>
      <c r="C104" s="23"/>
    </row>
    <row r="105" ht="26.25">
      <c r="C105" s="23"/>
    </row>
    <row r="106" ht="26.25">
      <c r="C106" s="23"/>
    </row>
    <row r="107" ht="26.25">
      <c r="C107" s="23"/>
    </row>
    <row r="108" ht="26.25">
      <c r="C108" s="23"/>
    </row>
    <row r="109" ht="26.25">
      <c r="C109" s="23"/>
    </row>
    <row r="110" ht="26.25">
      <c r="C110" s="23"/>
    </row>
    <row r="111" ht="26.25">
      <c r="C111" s="23"/>
    </row>
    <row r="112" ht="26.25">
      <c r="C112" s="23"/>
    </row>
    <row r="113" ht="26.25">
      <c r="C113" s="23"/>
    </row>
    <row r="114" ht="26.25">
      <c r="C114" s="23"/>
    </row>
    <row r="115" ht="26.25">
      <c r="C115" s="23"/>
    </row>
    <row r="116" ht="26.25">
      <c r="C116" s="23"/>
    </row>
    <row r="117" ht="26.25">
      <c r="C117" s="23"/>
    </row>
    <row r="118" ht="26.25">
      <c r="C118" s="23"/>
    </row>
    <row r="119" ht="26.25">
      <c r="C119" s="23"/>
    </row>
    <row r="120" ht="26.25">
      <c r="C120" s="23"/>
    </row>
    <row r="121" ht="26.25">
      <c r="C121" s="23"/>
    </row>
  </sheetData>
  <sheetProtection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2" horizontalDpi="600" verticalDpi="600" orientation="portrait" paperSize="9" scale="37" r:id="rId1"/>
  <headerFooter alignWithMargins="0">
    <oddFooter>&amp;R&amp;20&amp;P</oddFooter>
  </headerFooter>
  <rowBreaks count="1" manualBreakCount="1">
    <brk id="4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74"/>
  <sheetViews>
    <sheetView showGridLines="0" tabSelected="1" zoomScale="55" zoomScaleNormal="55" zoomScaleSheetLayoutView="55" zoomScalePageLayoutView="0" workbookViewId="0" topLeftCell="A1">
      <pane xSplit="2" ySplit="7" topLeftCell="C3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8" width="9.125" style="2" customWidth="1"/>
    <col min="9" max="16384" width="9.125" style="2" customWidth="1"/>
  </cols>
  <sheetData>
    <row r="1" spans="1:6" s="59" customFormat="1" ht="30" customHeight="1">
      <c r="A1" s="162" t="str">
        <f>NFZ!A1</f>
        <v>ZMIANA PLANU FINANSOWEGO NARODOWEGO FUNDUSZU ZDROWIA NA 2010 ROK Z 16 GRUDNIA 2010 R.</v>
      </c>
      <c r="B1" s="162"/>
      <c r="C1" s="162"/>
      <c r="D1" s="162"/>
      <c r="E1" s="162"/>
      <c r="F1" s="162"/>
    </row>
    <row r="2" spans="1:3" s="60" customFormat="1" ht="30.75" customHeight="1">
      <c r="A2" s="163" t="s">
        <v>77</v>
      </c>
      <c r="B2" s="163"/>
      <c r="C2" s="163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65" t="s">
        <v>164</v>
      </c>
      <c r="B4" s="164" t="s">
        <v>62</v>
      </c>
      <c r="C4" s="160" t="s">
        <v>201</v>
      </c>
      <c r="D4" s="157" t="s">
        <v>158</v>
      </c>
      <c r="E4" s="159" t="s">
        <v>163</v>
      </c>
      <c r="F4" s="159" t="s">
        <v>162</v>
      </c>
    </row>
    <row r="5" spans="1:6" s="6" customFormat="1" ht="33" customHeight="1">
      <c r="A5" s="164"/>
      <c r="B5" s="164"/>
      <c r="C5" s="161"/>
      <c r="D5" s="158"/>
      <c r="E5" s="159"/>
      <c r="F5" s="159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8767738</v>
      </c>
      <c r="D7" s="16">
        <f>D8+D9+D10+D12+D13+D14+D15+D16+D17+D18+D19+D20+D21+D22+D24+D25+D26+D27</f>
        <v>8767738</v>
      </c>
      <c r="E7" s="13" t="str">
        <f>IF(C7=D7,"-",D7-C7)</f>
        <v>-</v>
      </c>
      <c r="F7" s="86">
        <f>IF(C7=0,"-",D7/C7)</f>
        <v>1</v>
      </c>
      <c r="H7" s="118"/>
    </row>
    <row r="8" spans="1:8" ht="31.5" customHeight="1">
      <c r="A8" s="40" t="s">
        <v>1</v>
      </c>
      <c r="B8" s="100" t="s">
        <v>165</v>
      </c>
      <c r="C8" s="107">
        <v>988451</v>
      </c>
      <c r="D8" s="36">
        <f aca="true" t="shared" si="0" ref="D8:D22">C8</f>
        <v>988451</v>
      </c>
      <c r="E8" s="87" t="str">
        <f aca="true" t="shared" si="1" ref="E8:E29">IF(C8=D8,"-",D8-C8)</f>
        <v>-</v>
      </c>
      <c r="F8" s="88">
        <f aca="true" t="shared" si="2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07">
        <v>672800</v>
      </c>
      <c r="D9" s="36">
        <f t="shared" si="0"/>
        <v>672800</v>
      </c>
      <c r="E9" s="87" t="str">
        <f t="shared" si="1"/>
        <v>-</v>
      </c>
      <c r="F9" s="88">
        <f t="shared" si="2"/>
        <v>1</v>
      </c>
      <c r="H9" s="118"/>
    </row>
    <row r="10" spans="1:8" ht="31.5" customHeight="1">
      <c r="A10" s="40" t="s">
        <v>3</v>
      </c>
      <c r="B10" s="100" t="s">
        <v>157</v>
      </c>
      <c r="C10" s="107">
        <v>4332075</v>
      </c>
      <c r="D10" s="36">
        <f t="shared" si="0"/>
        <v>4332075</v>
      </c>
      <c r="E10" s="87" t="str">
        <f t="shared" si="1"/>
        <v>-</v>
      </c>
      <c r="F10" s="88">
        <f t="shared" si="2"/>
        <v>1</v>
      </c>
      <c r="H10" s="118"/>
    </row>
    <row r="11" spans="1:8" ht="31.5" customHeight="1">
      <c r="A11" s="101" t="s">
        <v>64</v>
      </c>
      <c r="B11" s="45" t="s">
        <v>65</v>
      </c>
      <c r="C11" s="107">
        <v>286701</v>
      </c>
      <c r="D11" s="36">
        <f t="shared" si="0"/>
        <v>286701</v>
      </c>
      <c r="E11" s="87" t="str">
        <f t="shared" si="1"/>
        <v>-</v>
      </c>
      <c r="F11" s="88">
        <f t="shared" si="2"/>
        <v>1</v>
      </c>
      <c r="H11" s="118"/>
    </row>
    <row r="12" spans="1:8" ht="31.5" customHeight="1">
      <c r="A12" s="40" t="s">
        <v>4</v>
      </c>
      <c r="B12" s="100" t="s">
        <v>172</v>
      </c>
      <c r="C12" s="107">
        <v>328725</v>
      </c>
      <c r="D12" s="36">
        <f t="shared" si="0"/>
        <v>328725</v>
      </c>
      <c r="E12" s="87" t="str">
        <f t="shared" si="1"/>
        <v>-</v>
      </c>
      <c r="F12" s="88">
        <f t="shared" si="2"/>
        <v>1</v>
      </c>
      <c r="H12" s="118"/>
    </row>
    <row r="13" spans="1:8" ht="31.5" customHeight="1">
      <c r="A13" s="40" t="s">
        <v>5</v>
      </c>
      <c r="B13" s="100" t="s">
        <v>167</v>
      </c>
      <c r="C13" s="107">
        <v>370792</v>
      </c>
      <c r="D13" s="36">
        <f t="shared" si="0"/>
        <v>370792</v>
      </c>
      <c r="E13" s="87" t="str">
        <f t="shared" si="1"/>
        <v>-</v>
      </c>
      <c r="F13" s="88">
        <f t="shared" si="2"/>
        <v>1</v>
      </c>
      <c r="H13" s="118"/>
    </row>
    <row r="14" spans="1:8" ht="31.5" customHeight="1">
      <c r="A14" s="40" t="s">
        <v>6</v>
      </c>
      <c r="B14" s="100" t="s">
        <v>176</v>
      </c>
      <c r="C14" s="107">
        <v>127339</v>
      </c>
      <c r="D14" s="36">
        <f t="shared" si="0"/>
        <v>127339</v>
      </c>
      <c r="E14" s="87" t="str">
        <f t="shared" si="1"/>
        <v>-</v>
      </c>
      <c r="F14" s="88">
        <f t="shared" si="2"/>
        <v>1</v>
      </c>
      <c r="H14" s="118"/>
    </row>
    <row r="15" spans="1:8" ht="31.5" customHeight="1">
      <c r="A15" s="40" t="s">
        <v>7</v>
      </c>
      <c r="B15" s="100" t="s">
        <v>175</v>
      </c>
      <c r="C15" s="107">
        <v>37949</v>
      </c>
      <c r="D15" s="36">
        <f t="shared" si="0"/>
        <v>37949</v>
      </c>
      <c r="E15" s="87" t="str">
        <f>IF(C15=D15,"-",D15-C15)</f>
        <v>-</v>
      </c>
      <c r="F15" s="88">
        <f>IF(C15=0,"-",D15/C15)</f>
        <v>1</v>
      </c>
      <c r="H15" s="118"/>
    </row>
    <row r="16" spans="1:8" ht="31.5" customHeight="1">
      <c r="A16" s="40" t="s">
        <v>8</v>
      </c>
      <c r="B16" s="100" t="s">
        <v>168</v>
      </c>
      <c r="C16" s="107">
        <v>219348</v>
      </c>
      <c r="D16" s="36">
        <f t="shared" si="0"/>
        <v>219348</v>
      </c>
      <c r="E16" s="87" t="str">
        <f t="shared" si="1"/>
        <v>-</v>
      </c>
      <c r="F16" s="88">
        <f t="shared" si="2"/>
        <v>1</v>
      </c>
      <c r="H16" s="118"/>
    </row>
    <row r="17" spans="1:8" ht="31.5" customHeight="1">
      <c r="A17" s="40" t="s">
        <v>9</v>
      </c>
      <c r="B17" s="100" t="s">
        <v>169</v>
      </c>
      <c r="C17" s="107">
        <v>85731</v>
      </c>
      <c r="D17" s="36">
        <f t="shared" si="0"/>
        <v>85731</v>
      </c>
      <c r="E17" s="87" t="str">
        <f t="shared" si="1"/>
        <v>-</v>
      </c>
      <c r="F17" s="88">
        <f t="shared" si="2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5439</v>
      </c>
      <c r="D18" s="36">
        <f t="shared" si="0"/>
        <v>5439</v>
      </c>
      <c r="E18" s="87" t="str">
        <f t="shared" si="1"/>
        <v>-</v>
      </c>
      <c r="F18" s="88">
        <f t="shared" si="2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16273</v>
      </c>
      <c r="D19" s="36">
        <f t="shared" si="0"/>
        <v>16273</v>
      </c>
      <c r="E19" s="87" t="str">
        <f t="shared" si="1"/>
        <v>-</v>
      </c>
      <c r="F19" s="88">
        <f t="shared" si="2"/>
        <v>1</v>
      </c>
      <c r="H19" s="118"/>
    </row>
    <row r="20" spans="1:8" ht="31.5" customHeight="1">
      <c r="A20" s="40" t="s">
        <v>12</v>
      </c>
      <c r="B20" s="100" t="s">
        <v>171</v>
      </c>
      <c r="C20" s="107">
        <v>217572</v>
      </c>
      <c r="D20" s="36">
        <f t="shared" si="0"/>
        <v>217572</v>
      </c>
      <c r="E20" s="87" t="str">
        <f t="shared" si="1"/>
        <v>-</v>
      </c>
      <c r="F20" s="88">
        <f t="shared" si="2"/>
        <v>1</v>
      </c>
      <c r="H20" s="118"/>
    </row>
    <row r="21" spans="1:8" ht="31.5" customHeight="1">
      <c r="A21" s="40" t="s">
        <v>14</v>
      </c>
      <c r="B21" s="46" t="s">
        <v>13</v>
      </c>
      <c r="C21" s="107">
        <v>79005</v>
      </c>
      <c r="D21" s="36">
        <f t="shared" si="0"/>
        <v>79005</v>
      </c>
      <c r="E21" s="87" t="str">
        <f t="shared" si="1"/>
        <v>-</v>
      </c>
      <c r="F21" s="88">
        <f t="shared" si="2"/>
        <v>1</v>
      </c>
      <c r="H21" s="118"/>
    </row>
    <row r="22" spans="1:8" ht="31.5" customHeight="1">
      <c r="A22" s="41" t="s">
        <v>15</v>
      </c>
      <c r="B22" s="100" t="s">
        <v>173</v>
      </c>
      <c r="C22" s="107">
        <v>1271147</v>
      </c>
      <c r="D22" s="36">
        <f t="shared" si="0"/>
        <v>1271147</v>
      </c>
      <c r="E22" s="87" t="str">
        <f t="shared" si="1"/>
        <v>-</v>
      </c>
      <c r="F22" s="88">
        <f t="shared" si="2"/>
        <v>1</v>
      </c>
      <c r="H22" s="118"/>
    </row>
    <row r="23" spans="1:8" ht="31.5" customHeight="1">
      <c r="A23" s="39" t="s">
        <v>178</v>
      </c>
      <c r="B23" s="45" t="s">
        <v>66</v>
      </c>
      <c r="C23" s="107">
        <v>4242</v>
      </c>
      <c r="D23" s="36">
        <f aca="true" t="shared" si="3" ref="D23:D28">C23</f>
        <v>4242</v>
      </c>
      <c r="E23" s="87" t="str">
        <f t="shared" si="1"/>
        <v>-</v>
      </c>
      <c r="F23" s="88">
        <f t="shared" si="2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 t="shared" si="3"/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 t="shared" si="3"/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 t="shared" si="3"/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15092</v>
      </c>
      <c r="D27" s="36">
        <f t="shared" si="3"/>
        <v>15092</v>
      </c>
      <c r="E27" s="87" t="str">
        <f>IF(C27=D27,"-",D27-C27)</f>
        <v>-</v>
      </c>
      <c r="F27" s="88">
        <f>IF(C27=0,"-",D27/C27)</f>
        <v>1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 t="shared" si="3"/>
        <v>0</v>
      </c>
      <c r="E28" s="15" t="str">
        <f t="shared" si="1"/>
        <v>-</v>
      </c>
      <c r="F28" s="116" t="str">
        <f t="shared" si="2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218389</v>
      </c>
      <c r="D29" s="115">
        <v>218389</v>
      </c>
      <c r="E29" s="15" t="str">
        <f t="shared" si="1"/>
        <v>-</v>
      </c>
      <c r="F29" s="116">
        <f t="shared" si="2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65988</v>
      </c>
      <c r="D30" s="34">
        <f>D31+D32+D33+D41+D42+D48+D49+D50+D47</f>
        <v>65988</v>
      </c>
      <c r="E30" s="13" t="str">
        <f>IF(C30=D30,"-",D30-C30)</f>
        <v>-</v>
      </c>
      <c r="F30" s="89">
        <f t="shared" si="2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2145</v>
      </c>
      <c r="D31" s="35">
        <f>C31</f>
        <v>2145</v>
      </c>
      <c r="E31" s="87" t="str">
        <f aca="true" t="shared" si="4" ref="E31:E51">IF(C31=D31,"-",D31-C31)</f>
        <v>-</v>
      </c>
      <c r="F31" s="88">
        <f t="shared" si="2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10785</v>
      </c>
      <c r="D32" s="35">
        <f>C32</f>
        <v>10785</v>
      </c>
      <c r="E32" s="87" t="str">
        <f t="shared" si="4"/>
        <v>-</v>
      </c>
      <c r="F32" s="88">
        <f t="shared" si="2"/>
        <v>1</v>
      </c>
      <c r="H32" s="118"/>
    </row>
    <row r="33" spans="1:8" ht="28.5" customHeight="1">
      <c r="A33" s="42" t="s">
        <v>23</v>
      </c>
      <c r="B33" s="51" t="s">
        <v>37</v>
      </c>
      <c r="C33" s="35">
        <v>397</v>
      </c>
      <c r="D33" s="35">
        <f>D34+D36+D37+D38+D39+D40</f>
        <v>397</v>
      </c>
      <c r="E33" s="87" t="str">
        <f t="shared" si="4"/>
        <v>-</v>
      </c>
      <c r="F33" s="88">
        <f t="shared" si="2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24</v>
      </c>
      <c r="D34" s="35">
        <f>C34</f>
        <v>24</v>
      </c>
      <c r="E34" s="87" t="str">
        <f t="shared" si="4"/>
        <v>-</v>
      </c>
      <c r="F34" s="88">
        <f t="shared" si="2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24</v>
      </c>
      <c r="D35" s="35">
        <f aca="true" t="shared" si="5" ref="D35:D47">C35</f>
        <v>24</v>
      </c>
      <c r="E35" s="87" t="str">
        <f t="shared" si="4"/>
        <v>-</v>
      </c>
      <c r="F35" s="88">
        <f t="shared" si="2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36</v>
      </c>
      <c r="D36" s="35">
        <f t="shared" si="5"/>
        <v>36</v>
      </c>
      <c r="E36" s="87" t="str">
        <f t="shared" si="4"/>
        <v>-</v>
      </c>
      <c r="F36" s="88">
        <f t="shared" si="2"/>
        <v>1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5"/>
        <v>0</v>
      </c>
      <c r="E37" s="87" t="str">
        <f t="shared" si="4"/>
        <v>-</v>
      </c>
      <c r="F37" s="88" t="str">
        <f t="shared" si="2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5"/>
        <v>0</v>
      </c>
      <c r="E38" s="87" t="str">
        <f t="shared" si="4"/>
        <v>-</v>
      </c>
      <c r="F38" s="88" t="str">
        <f t="shared" si="2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313</v>
      </c>
      <c r="D39" s="35">
        <f t="shared" si="5"/>
        <v>313</v>
      </c>
      <c r="E39" s="87" t="str">
        <f t="shared" si="4"/>
        <v>-</v>
      </c>
      <c r="F39" s="88">
        <f t="shared" si="2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24</v>
      </c>
      <c r="D40" s="35">
        <f t="shared" si="5"/>
        <v>24</v>
      </c>
      <c r="E40" s="87" t="str">
        <f t="shared" si="4"/>
        <v>-</v>
      </c>
      <c r="F40" s="88">
        <f t="shared" si="2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38918</v>
      </c>
      <c r="D41" s="35">
        <f t="shared" si="5"/>
        <v>38918</v>
      </c>
      <c r="E41" s="87" t="str">
        <f t="shared" si="4"/>
        <v>-</v>
      </c>
      <c r="F41" s="88">
        <f t="shared" si="2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v>7829</v>
      </c>
      <c r="D42" s="35">
        <f>SUM(D43:D46)</f>
        <v>7829</v>
      </c>
      <c r="E42" s="87" t="str">
        <f t="shared" si="4"/>
        <v>-</v>
      </c>
      <c r="F42" s="88">
        <f t="shared" si="2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5912</v>
      </c>
      <c r="D43" s="35">
        <f>C43</f>
        <v>5912</v>
      </c>
      <c r="E43" s="87" t="str">
        <f t="shared" si="4"/>
        <v>-</v>
      </c>
      <c r="F43" s="88">
        <f t="shared" si="2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953</v>
      </c>
      <c r="D44" s="35">
        <f>C44</f>
        <v>953</v>
      </c>
      <c r="E44" s="87" t="str">
        <f t="shared" si="4"/>
        <v>-</v>
      </c>
      <c r="F44" s="88">
        <f t="shared" si="2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7" t="str">
        <f t="shared" si="4"/>
        <v>-</v>
      </c>
      <c r="F45" s="88" t="str">
        <f t="shared" si="2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964</v>
      </c>
      <c r="D46" s="35">
        <f>C46</f>
        <v>964</v>
      </c>
      <c r="E46" s="87" t="str">
        <f t="shared" si="4"/>
        <v>-</v>
      </c>
      <c r="F46" s="88">
        <f t="shared" si="2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5"/>
        <v>0</v>
      </c>
      <c r="E47" s="87" t="str">
        <f t="shared" si="4"/>
        <v>-</v>
      </c>
      <c r="F47" s="88" t="str">
        <f aca="true" t="shared" si="6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5569</v>
      </c>
      <c r="D48" s="35">
        <f>C48</f>
        <v>5569</v>
      </c>
      <c r="E48" s="87" t="str">
        <f t="shared" si="4"/>
        <v>-</v>
      </c>
      <c r="F48" s="90">
        <f t="shared" si="6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87</v>
      </c>
      <c r="D49" s="35">
        <f>C49</f>
        <v>87</v>
      </c>
      <c r="E49" s="87" t="str">
        <f t="shared" si="4"/>
        <v>-</v>
      </c>
      <c r="F49" s="90">
        <f t="shared" si="6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258</v>
      </c>
      <c r="D50" s="35">
        <f>C50</f>
        <v>258</v>
      </c>
      <c r="E50" s="87" t="str">
        <f t="shared" si="4"/>
        <v>-</v>
      </c>
      <c r="F50" s="88">
        <f t="shared" si="6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37504</v>
      </c>
      <c r="D51" s="38">
        <f>SUM(D52:D55)</f>
        <v>35912</v>
      </c>
      <c r="E51" s="13">
        <f t="shared" si="4"/>
        <v>-1592</v>
      </c>
      <c r="F51" s="91">
        <f t="shared" si="6"/>
        <v>0.9576</v>
      </c>
      <c r="H51" s="118"/>
    </row>
    <row r="52" spans="1:8" ht="42" customHeight="1">
      <c r="A52" s="42" t="s">
        <v>119</v>
      </c>
      <c r="B52" s="51" t="s">
        <v>144</v>
      </c>
      <c r="C52" s="92">
        <v>1609</v>
      </c>
      <c r="D52" s="35">
        <f>C52-1592</f>
        <v>17</v>
      </c>
      <c r="E52" s="92">
        <f>IF(C52=D52,"-",D52-C52)</f>
        <v>-1592</v>
      </c>
      <c r="F52" s="98">
        <f t="shared" si="6"/>
        <v>0.0106</v>
      </c>
      <c r="H52" s="118"/>
    </row>
    <row r="53" spans="1:8" ht="31.5" customHeight="1">
      <c r="A53" s="42" t="s">
        <v>35</v>
      </c>
      <c r="B53" s="51" t="s">
        <v>63</v>
      </c>
      <c r="C53" s="92">
        <v>33895</v>
      </c>
      <c r="D53" s="35">
        <f>C53</f>
        <v>33895</v>
      </c>
      <c r="E53" s="92" t="str">
        <f>IF(C53=D53,"-",D53-C53)</f>
        <v>-</v>
      </c>
      <c r="F53" s="98">
        <f t="shared" si="6"/>
        <v>1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6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2000</v>
      </c>
      <c r="D55" s="35">
        <f>C55</f>
        <v>2000</v>
      </c>
      <c r="E55" s="92" t="str">
        <f>IF(C55=D55,"-",D55-C55)</f>
        <v>-</v>
      </c>
      <c r="F55" s="98">
        <f t="shared" si="6"/>
        <v>1</v>
      </c>
      <c r="H55" s="118"/>
    </row>
    <row r="56" spans="1:8" ht="32.25" customHeight="1">
      <c r="A56" s="44" t="s">
        <v>127</v>
      </c>
      <c r="B56" s="56" t="s">
        <v>154</v>
      </c>
      <c r="C56" s="109">
        <v>10500</v>
      </c>
      <c r="D56" s="38">
        <f>C56+18500</f>
        <v>29000</v>
      </c>
      <c r="E56" s="13">
        <f>IF(C56=D56,"-",D56-C56)</f>
        <v>18500</v>
      </c>
      <c r="F56" s="91">
        <f>IF(C56=0,"-",D56/C56)</f>
        <v>2.7619</v>
      </c>
      <c r="H56" s="118"/>
    </row>
    <row r="72" ht="54" customHeight="1"/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74"/>
  <sheetViews>
    <sheetView showGridLines="0" zoomScale="55" zoomScaleNormal="55" zoomScaleSheetLayoutView="55" zoomScalePageLayoutView="0" workbookViewId="0" topLeftCell="A1">
      <pane xSplit="2" ySplit="7" topLeftCell="C32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8" width="9.125" style="2" customWidth="1"/>
    <col min="9" max="16384" width="9.125" style="2" customWidth="1"/>
  </cols>
  <sheetData>
    <row r="1" spans="1:6" s="59" customFormat="1" ht="30" customHeight="1">
      <c r="A1" s="162" t="str">
        <f>NFZ!A1</f>
        <v>ZMIANA PLANU FINANSOWEGO NARODOWEGO FUNDUSZU ZDROWIA NA 2010 ROK Z 16 GRUDNIA 2010 R.</v>
      </c>
      <c r="B1" s="162"/>
      <c r="C1" s="162"/>
      <c r="D1" s="162"/>
      <c r="E1" s="162"/>
      <c r="F1" s="162"/>
    </row>
    <row r="2" spans="1:3" s="60" customFormat="1" ht="30.75" customHeight="1">
      <c r="A2" s="163" t="s">
        <v>78</v>
      </c>
      <c r="B2" s="163"/>
      <c r="C2" s="163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65" t="s">
        <v>164</v>
      </c>
      <c r="B4" s="164" t="s">
        <v>62</v>
      </c>
      <c r="C4" s="160" t="s">
        <v>201</v>
      </c>
      <c r="D4" s="157" t="s">
        <v>158</v>
      </c>
      <c r="E4" s="159" t="s">
        <v>163</v>
      </c>
      <c r="F4" s="159" t="s">
        <v>162</v>
      </c>
    </row>
    <row r="5" spans="1:6" s="6" customFormat="1" ht="33" customHeight="1">
      <c r="A5" s="164"/>
      <c r="B5" s="164"/>
      <c r="C5" s="161"/>
      <c r="D5" s="158"/>
      <c r="E5" s="159"/>
      <c r="F5" s="159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1418022</v>
      </c>
      <c r="D7" s="16">
        <f>D8+D9+D10+D12+D13+D14+D15+D16+D17+D18+D19+D20+D21+D22+D24+D25+D26+D27</f>
        <v>1418022</v>
      </c>
      <c r="E7" s="13" t="str">
        <f>IF(C7=D7,"-",D7-C7)</f>
        <v>-</v>
      </c>
      <c r="F7" s="86">
        <f>IF(C7=0,"-",D7/C7)</f>
        <v>1</v>
      </c>
      <c r="H7" s="118"/>
    </row>
    <row r="8" spans="1:8" ht="31.5" customHeight="1">
      <c r="A8" s="40" t="s">
        <v>1</v>
      </c>
      <c r="B8" s="100" t="s">
        <v>165</v>
      </c>
      <c r="C8" s="107">
        <v>183987</v>
      </c>
      <c r="D8" s="36">
        <f>C8</f>
        <v>183987</v>
      </c>
      <c r="E8" s="87" t="str">
        <f aca="true" t="shared" si="0" ref="E8:E29">IF(C8=D8,"-",D8-C8)</f>
        <v>-</v>
      </c>
      <c r="F8" s="88">
        <f aca="true" t="shared" si="1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07">
        <v>102787</v>
      </c>
      <c r="D9" s="36">
        <f>C9</f>
        <v>102787</v>
      </c>
      <c r="E9" s="87" t="str">
        <f t="shared" si="0"/>
        <v>-</v>
      </c>
      <c r="F9" s="88">
        <f t="shared" si="1"/>
        <v>1</v>
      </c>
      <c r="H9" s="118"/>
    </row>
    <row r="10" spans="1:8" ht="31.5" customHeight="1">
      <c r="A10" s="40" t="s">
        <v>3</v>
      </c>
      <c r="B10" s="100" t="s">
        <v>157</v>
      </c>
      <c r="C10" s="107">
        <v>674442</v>
      </c>
      <c r="D10" s="36">
        <f>C10</f>
        <v>674442</v>
      </c>
      <c r="E10" s="87" t="str">
        <f t="shared" si="0"/>
        <v>-</v>
      </c>
      <c r="F10" s="88">
        <f t="shared" si="1"/>
        <v>1</v>
      </c>
      <c r="H10" s="118"/>
    </row>
    <row r="11" spans="1:8" ht="31.5" customHeight="1">
      <c r="A11" s="101" t="s">
        <v>64</v>
      </c>
      <c r="B11" s="45" t="s">
        <v>65</v>
      </c>
      <c r="C11" s="107">
        <v>35115</v>
      </c>
      <c r="D11" s="36">
        <f>C11</f>
        <v>35115</v>
      </c>
      <c r="E11" s="87" t="str">
        <f t="shared" si="0"/>
        <v>-</v>
      </c>
      <c r="F11" s="88">
        <f t="shared" si="1"/>
        <v>1</v>
      </c>
      <c r="H11" s="118"/>
    </row>
    <row r="12" spans="1:8" ht="31.5" customHeight="1">
      <c r="A12" s="40" t="s">
        <v>4</v>
      </c>
      <c r="B12" s="100" t="s">
        <v>172</v>
      </c>
      <c r="C12" s="107">
        <v>51549</v>
      </c>
      <c r="D12" s="36">
        <f aca="true" t="shared" si="2" ref="D12:D27">C12</f>
        <v>51549</v>
      </c>
      <c r="E12" s="87" t="str">
        <f t="shared" si="0"/>
        <v>-</v>
      </c>
      <c r="F12" s="88">
        <f t="shared" si="1"/>
        <v>1</v>
      </c>
      <c r="H12" s="118"/>
    </row>
    <row r="13" spans="1:8" ht="31.5" customHeight="1">
      <c r="A13" s="40" t="s">
        <v>5</v>
      </c>
      <c r="B13" s="100" t="s">
        <v>167</v>
      </c>
      <c r="C13" s="107">
        <v>46855</v>
      </c>
      <c r="D13" s="36">
        <f t="shared" si="2"/>
        <v>46855</v>
      </c>
      <c r="E13" s="87" t="str">
        <f t="shared" si="0"/>
        <v>-</v>
      </c>
      <c r="F13" s="88">
        <f t="shared" si="1"/>
        <v>1</v>
      </c>
      <c r="H13" s="118"/>
    </row>
    <row r="14" spans="1:8" ht="31.5" customHeight="1">
      <c r="A14" s="40" t="s">
        <v>6</v>
      </c>
      <c r="B14" s="100" t="s">
        <v>176</v>
      </c>
      <c r="C14" s="107">
        <v>40056</v>
      </c>
      <c r="D14" s="36">
        <f>C14</f>
        <v>40056</v>
      </c>
      <c r="E14" s="87" t="str">
        <f t="shared" si="0"/>
        <v>-</v>
      </c>
      <c r="F14" s="88">
        <f t="shared" si="1"/>
        <v>1</v>
      </c>
      <c r="H14" s="118"/>
    </row>
    <row r="15" spans="1:8" ht="31.5" customHeight="1">
      <c r="A15" s="40" t="s">
        <v>7</v>
      </c>
      <c r="B15" s="100" t="s">
        <v>175</v>
      </c>
      <c r="C15" s="107">
        <v>7842</v>
      </c>
      <c r="D15" s="36">
        <f>C15</f>
        <v>7842</v>
      </c>
      <c r="E15" s="87" t="str">
        <f>IF(C15=D15,"-",D15-C15)</f>
        <v>-</v>
      </c>
      <c r="F15" s="88">
        <f>IF(C15=0,"-",D15/C15)</f>
        <v>1</v>
      </c>
      <c r="H15" s="118"/>
    </row>
    <row r="16" spans="1:8" ht="31.5" customHeight="1">
      <c r="A16" s="40" t="s">
        <v>8</v>
      </c>
      <c r="B16" s="100" t="s">
        <v>168</v>
      </c>
      <c r="C16" s="107">
        <v>44918</v>
      </c>
      <c r="D16" s="36">
        <f>C16</f>
        <v>44918</v>
      </c>
      <c r="E16" s="87" t="str">
        <f t="shared" si="0"/>
        <v>-</v>
      </c>
      <c r="F16" s="88">
        <f t="shared" si="1"/>
        <v>1</v>
      </c>
      <c r="H16" s="118"/>
    </row>
    <row r="17" spans="1:8" ht="31.5" customHeight="1">
      <c r="A17" s="40" t="s">
        <v>9</v>
      </c>
      <c r="B17" s="100" t="s">
        <v>169</v>
      </c>
      <c r="C17" s="107">
        <v>12500</v>
      </c>
      <c r="D17" s="36">
        <f t="shared" si="2"/>
        <v>12500</v>
      </c>
      <c r="E17" s="87" t="str">
        <f t="shared" si="0"/>
        <v>-</v>
      </c>
      <c r="F17" s="88">
        <f t="shared" si="1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1260</v>
      </c>
      <c r="D18" s="36">
        <f t="shared" si="2"/>
        <v>1260</v>
      </c>
      <c r="E18" s="87" t="str">
        <f t="shared" si="0"/>
        <v>-</v>
      </c>
      <c r="F18" s="88">
        <f t="shared" si="1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3731</v>
      </c>
      <c r="D19" s="36">
        <f t="shared" si="2"/>
        <v>3731</v>
      </c>
      <c r="E19" s="87" t="str">
        <f t="shared" si="0"/>
        <v>-</v>
      </c>
      <c r="F19" s="88">
        <f t="shared" si="1"/>
        <v>1</v>
      </c>
      <c r="H19" s="118"/>
    </row>
    <row r="20" spans="1:8" ht="31.5" customHeight="1">
      <c r="A20" s="40" t="s">
        <v>12</v>
      </c>
      <c r="B20" s="100" t="s">
        <v>171</v>
      </c>
      <c r="C20" s="107">
        <v>34361</v>
      </c>
      <c r="D20" s="36">
        <f>C20</f>
        <v>34361</v>
      </c>
      <c r="E20" s="87" t="str">
        <f t="shared" si="0"/>
        <v>-</v>
      </c>
      <c r="F20" s="88">
        <f t="shared" si="1"/>
        <v>1</v>
      </c>
      <c r="H20" s="118"/>
    </row>
    <row r="21" spans="1:8" ht="31.5" customHeight="1">
      <c r="A21" s="40" t="s">
        <v>14</v>
      </c>
      <c r="B21" s="46" t="s">
        <v>13</v>
      </c>
      <c r="C21" s="107">
        <v>16270</v>
      </c>
      <c r="D21" s="36">
        <f t="shared" si="2"/>
        <v>16270</v>
      </c>
      <c r="E21" s="87" t="str">
        <f t="shared" si="0"/>
        <v>-</v>
      </c>
      <c r="F21" s="88">
        <f t="shared" si="1"/>
        <v>1</v>
      </c>
      <c r="H21" s="118"/>
    </row>
    <row r="22" spans="1:8" ht="31.5" customHeight="1">
      <c r="A22" s="41" t="s">
        <v>15</v>
      </c>
      <c r="B22" s="100" t="s">
        <v>173</v>
      </c>
      <c r="C22" s="107">
        <v>196306</v>
      </c>
      <c r="D22" s="36">
        <f t="shared" si="2"/>
        <v>196306</v>
      </c>
      <c r="E22" s="87" t="str">
        <f t="shared" si="0"/>
        <v>-</v>
      </c>
      <c r="F22" s="88">
        <f t="shared" si="1"/>
        <v>1</v>
      </c>
      <c r="H22" s="118"/>
    </row>
    <row r="23" spans="1:8" ht="31.5" customHeight="1">
      <c r="A23" s="39" t="s">
        <v>178</v>
      </c>
      <c r="B23" s="45" t="s">
        <v>66</v>
      </c>
      <c r="C23" s="107">
        <v>800</v>
      </c>
      <c r="D23" s="36">
        <f>C23</f>
        <v>800</v>
      </c>
      <c r="E23" s="87" t="str">
        <f t="shared" si="0"/>
        <v>-</v>
      </c>
      <c r="F23" s="88">
        <f t="shared" si="1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 t="shared" si="2"/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 t="shared" si="2"/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 t="shared" si="2"/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1158</v>
      </c>
      <c r="D27" s="36">
        <f t="shared" si="2"/>
        <v>1158</v>
      </c>
      <c r="E27" s="87" t="str">
        <f>IF(C27=D27,"-",D27-C27)</f>
        <v>-</v>
      </c>
      <c r="F27" s="88">
        <f>IF(C27=0,"-",D27/C27)</f>
        <v>1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>C28</f>
        <v>0</v>
      </c>
      <c r="E28" s="15" t="str">
        <f t="shared" si="0"/>
        <v>-</v>
      </c>
      <c r="F28" s="116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48800</v>
      </c>
      <c r="D29" s="115">
        <v>48800</v>
      </c>
      <c r="E29" s="15" t="str">
        <f t="shared" si="0"/>
        <v>-</v>
      </c>
      <c r="F29" s="116">
        <f t="shared" si="1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15832</v>
      </c>
      <c r="D30" s="34">
        <f>D31+D32+D33+D41+D42+D48+D49+D50+D47</f>
        <v>15832</v>
      </c>
      <c r="E30" s="13" t="str">
        <f>IF(C30=D30,"-",D30-C30)</f>
        <v>-</v>
      </c>
      <c r="F30" s="89">
        <f t="shared" si="1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850</v>
      </c>
      <c r="D31" s="35">
        <f>C31</f>
        <v>850</v>
      </c>
      <c r="E31" s="87" t="str">
        <f aca="true" t="shared" si="3" ref="E31:E51">IF(C31=D31,"-",D31-C31)</f>
        <v>-</v>
      </c>
      <c r="F31" s="88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1900</v>
      </c>
      <c r="D32" s="35">
        <f>C32</f>
        <v>1900</v>
      </c>
      <c r="E32" s="87" t="str">
        <f t="shared" si="3"/>
        <v>-</v>
      </c>
      <c r="F32" s="88">
        <f t="shared" si="1"/>
        <v>1</v>
      </c>
      <c r="H32" s="118"/>
    </row>
    <row r="33" spans="1:8" ht="28.5" customHeight="1">
      <c r="A33" s="42" t="s">
        <v>23</v>
      </c>
      <c r="B33" s="51" t="s">
        <v>37</v>
      </c>
      <c r="C33" s="35">
        <v>102</v>
      </c>
      <c r="D33" s="35">
        <f>D34+D36+D37+D38+D39+D40</f>
        <v>102</v>
      </c>
      <c r="E33" s="87" t="str">
        <f t="shared" si="3"/>
        <v>-</v>
      </c>
      <c r="F33" s="88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0</v>
      </c>
      <c r="D34" s="35">
        <f>C34</f>
        <v>0</v>
      </c>
      <c r="E34" s="87" t="str">
        <f t="shared" si="3"/>
        <v>-</v>
      </c>
      <c r="F34" s="88" t="str">
        <f t="shared" si="1"/>
        <v>-</v>
      </c>
      <c r="H34" s="118"/>
    </row>
    <row r="35" spans="1:8" ht="28.5" customHeight="1">
      <c r="A35" s="53" t="s">
        <v>46</v>
      </c>
      <c r="B35" s="55" t="s">
        <v>39</v>
      </c>
      <c r="C35" s="92">
        <v>0</v>
      </c>
      <c r="D35" s="35">
        <f aca="true" t="shared" si="4" ref="D35:D49">C35</f>
        <v>0</v>
      </c>
      <c r="E35" s="87" t="str">
        <f t="shared" si="3"/>
        <v>-</v>
      </c>
      <c r="F35" s="88" t="str">
        <f t="shared" si="1"/>
        <v>-</v>
      </c>
      <c r="H35" s="118"/>
    </row>
    <row r="36" spans="1:8" ht="28.5" customHeight="1">
      <c r="A36" s="53" t="s">
        <v>47</v>
      </c>
      <c r="B36" s="54" t="s">
        <v>40</v>
      </c>
      <c r="C36" s="92">
        <v>0</v>
      </c>
      <c r="D36" s="35">
        <f t="shared" si="4"/>
        <v>0</v>
      </c>
      <c r="E36" s="87" t="str">
        <f t="shared" si="3"/>
        <v>-</v>
      </c>
      <c r="F36" s="88" t="str">
        <f t="shared" si="1"/>
        <v>-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4"/>
        <v>0</v>
      </c>
      <c r="E37" s="87" t="str">
        <f t="shared" si="3"/>
        <v>-</v>
      </c>
      <c r="F37" s="88" t="str">
        <f t="shared" si="1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4"/>
        <v>0</v>
      </c>
      <c r="E38" s="87" t="str">
        <f t="shared" si="3"/>
        <v>-</v>
      </c>
      <c r="F38" s="88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100</v>
      </c>
      <c r="D39" s="35">
        <f t="shared" si="4"/>
        <v>100</v>
      </c>
      <c r="E39" s="87" t="str">
        <f t="shared" si="3"/>
        <v>-</v>
      </c>
      <c r="F39" s="88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2</v>
      </c>
      <c r="D40" s="35">
        <f t="shared" si="4"/>
        <v>2</v>
      </c>
      <c r="E40" s="87" t="str">
        <f t="shared" si="3"/>
        <v>-</v>
      </c>
      <c r="F40" s="88">
        <f t="shared" si="1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8128</v>
      </c>
      <c r="D41" s="35">
        <f t="shared" si="4"/>
        <v>8128</v>
      </c>
      <c r="E41" s="87" t="str">
        <f t="shared" si="3"/>
        <v>-</v>
      </c>
      <c r="F41" s="88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v>1641</v>
      </c>
      <c r="D42" s="35">
        <f t="shared" si="4"/>
        <v>1641</v>
      </c>
      <c r="E42" s="87" t="str">
        <f t="shared" si="3"/>
        <v>-</v>
      </c>
      <c r="F42" s="88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1235</v>
      </c>
      <c r="D43" s="35">
        <f t="shared" si="4"/>
        <v>1235</v>
      </c>
      <c r="E43" s="87" t="str">
        <f t="shared" si="3"/>
        <v>-</v>
      </c>
      <c r="F43" s="88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199</v>
      </c>
      <c r="D44" s="35">
        <f t="shared" si="4"/>
        <v>199</v>
      </c>
      <c r="E44" s="87" t="str">
        <f t="shared" si="3"/>
        <v>-</v>
      </c>
      <c r="F44" s="88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7" t="str">
        <f t="shared" si="3"/>
        <v>-</v>
      </c>
      <c r="F45" s="88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207</v>
      </c>
      <c r="D46" s="35">
        <f t="shared" si="4"/>
        <v>207</v>
      </c>
      <c r="E46" s="87" t="str">
        <f t="shared" si="3"/>
        <v>-</v>
      </c>
      <c r="F46" s="88">
        <f t="shared" si="1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4"/>
        <v>0</v>
      </c>
      <c r="E47" s="87" t="str">
        <f t="shared" si="3"/>
        <v>-</v>
      </c>
      <c r="F47" s="88" t="str">
        <f aca="true" t="shared" si="5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2787</v>
      </c>
      <c r="D48" s="35">
        <f t="shared" si="4"/>
        <v>2787</v>
      </c>
      <c r="E48" s="87" t="str">
        <f t="shared" si="3"/>
        <v>-</v>
      </c>
      <c r="F48" s="90">
        <f t="shared" si="5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240</v>
      </c>
      <c r="D49" s="35">
        <f t="shared" si="4"/>
        <v>240</v>
      </c>
      <c r="E49" s="87" t="str">
        <f t="shared" si="3"/>
        <v>-</v>
      </c>
      <c r="F49" s="90">
        <f t="shared" si="5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184</v>
      </c>
      <c r="D50" s="35">
        <f>C50</f>
        <v>184</v>
      </c>
      <c r="E50" s="87" t="str">
        <f t="shared" si="3"/>
        <v>-</v>
      </c>
      <c r="F50" s="88">
        <f t="shared" si="5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6732</v>
      </c>
      <c r="D51" s="38">
        <f>SUM(D52:D55)</f>
        <v>1682</v>
      </c>
      <c r="E51" s="13">
        <f t="shared" si="3"/>
        <v>-5050</v>
      </c>
      <c r="F51" s="91">
        <f t="shared" si="5"/>
        <v>0.2499</v>
      </c>
      <c r="H51" s="118"/>
    </row>
    <row r="52" spans="1:8" ht="42" customHeight="1">
      <c r="A52" s="42" t="s">
        <v>119</v>
      </c>
      <c r="B52" s="51" t="s">
        <v>144</v>
      </c>
      <c r="C52" s="92">
        <v>1632</v>
      </c>
      <c r="D52" s="35">
        <f>C52</f>
        <v>1632</v>
      </c>
      <c r="E52" s="92" t="str">
        <f>IF(C52=D52,"-",D52-C52)</f>
        <v>-</v>
      </c>
      <c r="F52" s="98">
        <f t="shared" si="5"/>
        <v>1</v>
      </c>
      <c r="H52" s="118"/>
    </row>
    <row r="53" spans="1:8" ht="31.5" customHeight="1">
      <c r="A53" s="42" t="s">
        <v>35</v>
      </c>
      <c r="B53" s="51" t="s">
        <v>63</v>
      </c>
      <c r="C53" s="92">
        <v>5000</v>
      </c>
      <c r="D53" s="35">
        <f>C53-5000</f>
        <v>0</v>
      </c>
      <c r="E53" s="92">
        <f>IF(C53=D53,"-",D53-C53)</f>
        <v>-5000</v>
      </c>
      <c r="F53" s="98">
        <f t="shared" si="5"/>
        <v>0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5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100</v>
      </c>
      <c r="D55" s="35">
        <f>C55-50</f>
        <v>50</v>
      </c>
      <c r="E55" s="92">
        <f>IF(C55=D55,"-",D55-C55)</f>
        <v>-50</v>
      </c>
      <c r="F55" s="98">
        <f t="shared" si="5"/>
        <v>0.5</v>
      </c>
      <c r="H55" s="118"/>
    </row>
    <row r="56" spans="1:8" ht="32.25" customHeight="1">
      <c r="A56" s="44" t="s">
        <v>127</v>
      </c>
      <c r="B56" s="56" t="s">
        <v>154</v>
      </c>
      <c r="C56" s="109">
        <v>0</v>
      </c>
      <c r="D56" s="38">
        <f>C56+5</f>
        <v>5</v>
      </c>
      <c r="E56" s="13">
        <f>IF(C56=D56,"-",D56-C56)</f>
        <v>5</v>
      </c>
      <c r="F56" s="91" t="str">
        <f>IF(C56=0,"-",D56/C56)</f>
        <v>-</v>
      </c>
      <c r="H56" s="118"/>
    </row>
    <row r="72" ht="54" customHeight="1"/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74"/>
  <sheetViews>
    <sheetView showGridLines="0" zoomScale="55" zoomScaleNormal="55" zoomScaleSheetLayoutView="55" zoomScalePageLayoutView="0" workbookViewId="0" topLeftCell="A1">
      <pane xSplit="2" ySplit="7" topLeftCell="C44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8" width="9.125" style="2" customWidth="1"/>
    <col min="9" max="16384" width="9.125" style="2" customWidth="1"/>
  </cols>
  <sheetData>
    <row r="1" spans="1:6" s="59" customFormat="1" ht="30" customHeight="1">
      <c r="A1" s="162" t="str">
        <f>NFZ!A1</f>
        <v>ZMIANA PLANU FINANSOWEGO NARODOWEGO FUNDUSZU ZDROWIA NA 2010 ROK Z 16 GRUDNIA 2010 R.</v>
      </c>
      <c r="B1" s="162"/>
      <c r="C1" s="162"/>
      <c r="D1" s="162"/>
      <c r="E1" s="162"/>
      <c r="F1" s="162"/>
    </row>
    <row r="2" spans="1:3" s="60" customFormat="1" ht="30.75" customHeight="1">
      <c r="A2" s="163" t="s">
        <v>79</v>
      </c>
      <c r="B2" s="163"/>
      <c r="C2" s="163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65" t="s">
        <v>164</v>
      </c>
      <c r="B4" s="164" t="s">
        <v>62</v>
      </c>
      <c r="C4" s="160" t="s">
        <v>201</v>
      </c>
      <c r="D4" s="157" t="s">
        <v>158</v>
      </c>
      <c r="E4" s="159" t="s">
        <v>163</v>
      </c>
      <c r="F4" s="159" t="s">
        <v>162</v>
      </c>
    </row>
    <row r="5" spans="1:6" s="6" customFormat="1" ht="33" customHeight="1">
      <c r="A5" s="164"/>
      <c r="B5" s="164"/>
      <c r="C5" s="161"/>
      <c r="D5" s="158"/>
      <c r="E5" s="159"/>
      <c r="F5" s="159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2741571</v>
      </c>
      <c r="D7" s="16">
        <f>D8+D9+D10+D12+D13+D14+D15+D16+D17+D18+D19+D20+D21+D22+D24+D25+D26+D27</f>
        <v>2741571</v>
      </c>
      <c r="E7" s="13" t="str">
        <f>IF(C7=D7,"-",D7-C7)</f>
        <v>-</v>
      </c>
      <c r="F7" s="86">
        <f>IF(C7=0,"-",D7/C7)</f>
        <v>1</v>
      </c>
      <c r="H7" s="118"/>
    </row>
    <row r="8" spans="1:8" ht="31.5" customHeight="1">
      <c r="A8" s="40" t="s">
        <v>1</v>
      </c>
      <c r="B8" s="100" t="s">
        <v>165</v>
      </c>
      <c r="C8" s="107">
        <v>392646</v>
      </c>
      <c r="D8" s="36">
        <f>C8</f>
        <v>392646</v>
      </c>
      <c r="E8" s="87" t="str">
        <f aca="true" t="shared" si="0" ref="E8:E29">IF(C8=D8,"-",D8-C8)</f>
        <v>-</v>
      </c>
      <c r="F8" s="88">
        <f aca="true" t="shared" si="1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07">
        <v>183257</v>
      </c>
      <c r="D9" s="36">
        <f>C9</f>
        <v>183257</v>
      </c>
      <c r="E9" s="87" t="str">
        <f t="shared" si="0"/>
        <v>-</v>
      </c>
      <c r="F9" s="88">
        <f t="shared" si="1"/>
        <v>1</v>
      </c>
      <c r="H9" s="118"/>
    </row>
    <row r="10" spans="1:8" ht="31.5" customHeight="1">
      <c r="A10" s="40" t="s">
        <v>3</v>
      </c>
      <c r="B10" s="100" t="s">
        <v>157</v>
      </c>
      <c r="C10" s="107">
        <v>1256496</v>
      </c>
      <c r="D10" s="36">
        <f>C10</f>
        <v>1256496</v>
      </c>
      <c r="E10" s="87" t="str">
        <f t="shared" si="0"/>
        <v>-</v>
      </c>
      <c r="F10" s="88">
        <f t="shared" si="1"/>
        <v>1</v>
      </c>
      <c r="H10" s="118"/>
    </row>
    <row r="11" spans="1:8" ht="31.5" customHeight="1">
      <c r="A11" s="101" t="s">
        <v>64</v>
      </c>
      <c r="B11" s="45" t="s">
        <v>65</v>
      </c>
      <c r="C11" s="107">
        <v>73064</v>
      </c>
      <c r="D11" s="36">
        <f>C11</f>
        <v>73064</v>
      </c>
      <c r="E11" s="87" t="str">
        <f t="shared" si="0"/>
        <v>-</v>
      </c>
      <c r="F11" s="88">
        <f t="shared" si="1"/>
        <v>1</v>
      </c>
      <c r="H11" s="118"/>
    </row>
    <row r="12" spans="1:8" ht="31.5" customHeight="1">
      <c r="A12" s="40" t="s">
        <v>4</v>
      </c>
      <c r="B12" s="100" t="s">
        <v>172</v>
      </c>
      <c r="C12" s="107">
        <v>85658</v>
      </c>
      <c r="D12" s="36">
        <f aca="true" t="shared" si="2" ref="D12:D27">C12</f>
        <v>85658</v>
      </c>
      <c r="E12" s="87" t="str">
        <f t="shared" si="0"/>
        <v>-</v>
      </c>
      <c r="F12" s="88">
        <f t="shared" si="1"/>
        <v>1</v>
      </c>
      <c r="H12" s="118"/>
    </row>
    <row r="13" spans="1:8" ht="31.5" customHeight="1">
      <c r="A13" s="40" t="s">
        <v>5</v>
      </c>
      <c r="B13" s="100" t="s">
        <v>167</v>
      </c>
      <c r="C13" s="107">
        <v>104254</v>
      </c>
      <c r="D13" s="36">
        <f t="shared" si="2"/>
        <v>104254</v>
      </c>
      <c r="E13" s="87" t="str">
        <f t="shared" si="0"/>
        <v>-</v>
      </c>
      <c r="F13" s="88">
        <f t="shared" si="1"/>
        <v>1</v>
      </c>
      <c r="H13" s="118"/>
    </row>
    <row r="14" spans="1:8" ht="31.5" customHeight="1">
      <c r="A14" s="40" t="s">
        <v>6</v>
      </c>
      <c r="B14" s="100" t="s">
        <v>176</v>
      </c>
      <c r="C14" s="107">
        <v>72882</v>
      </c>
      <c r="D14" s="36">
        <f t="shared" si="2"/>
        <v>72882</v>
      </c>
      <c r="E14" s="87" t="str">
        <f t="shared" si="0"/>
        <v>-</v>
      </c>
      <c r="F14" s="88">
        <f t="shared" si="1"/>
        <v>1</v>
      </c>
      <c r="H14" s="118"/>
    </row>
    <row r="15" spans="1:8" ht="31.5" customHeight="1">
      <c r="A15" s="40" t="s">
        <v>7</v>
      </c>
      <c r="B15" s="100" t="s">
        <v>175</v>
      </c>
      <c r="C15" s="107">
        <v>13495</v>
      </c>
      <c r="D15" s="36">
        <f t="shared" si="2"/>
        <v>13495</v>
      </c>
      <c r="E15" s="87" t="str">
        <f>IF(C15=D15,"-",D15-C15)</f>
        <v>-</v>
      </c>
      <c r="F15" s="88">
        <f>IF(C15=0,"-",D15/C15)</f>
        <v>1</v>
      </c>
      <c r="H15" s="118"/>
    </row>
    <row r="16" spans="1:8" ht="31.5" customHeight="1">
      <c r="A16" s="40" t="s">
        <v>8</v>
      </c>
      <c r="B16" s="100" t="s">
        <v>168</v>
      </c>
      <c r="C16" s="107">
        <v>85257</v>
      </c>
      <c r="D16" s="36">
        <f t="shared" si="2"/>
        <v>85257</v>
      </c>
      <c r="E16" s="87" t="str">
        <f t="shared" si="0"/>
        <v>-</v>
      </c>
      <c r="F16" s="88">
        <f t="shared" si="1"/>
        <v>1</v>
      </c>
      <c r="H16" s="118"/>
    </row>
    <row r="17" spans="1:8" ht="31.5" customHeight="1">
      <c r="A17" s="40" t="s">
        <v>9</v>
      </c>
      <c r="B17" s="100" t="s">
        <v>169</v>
      </c>
      <c r="C17" s="107">
        <v>24572</v>
      </c>
      <c r="D17" s="36">
        <f t="shared" si="2"/>
        <v>24572</v>
      </c>
      <c r="E17" s="87" t="str">
        <f t="shared" si="0"/>
        <v>-</v>
      </c>
      <c r="F17" s="88">
        <f t="shared" si="1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2396</v>
      </c>
      <c r="D18" s="36">
        <f t="shared" si="2"/>
        <v>2396</v>
      </c>
      <c r="E18" s="87" t="str">
        <f t="shared" si="0"/>
        <v>-</v>
      </c>
      <c r="F18" s="88">
        <f t="shared" si="1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5673</v>
      </c>
      <c r="D19" s="36">
        <f t="shared" si="2"/>
        <v>5673</v>
      </c>
      <c r="E19" s="87" t="str">
        <f t="shared" si="0"/>
        <v>-</v>
      </c>
      <c r="F19" s="88">
        <f t="shared" si="1"/>
        <v>1</v>
      </c>
      <c r="H19" s="118"/>
    </row>
    <row r="20" spans="1:8" ht="31.5" customHeight="1">
      <c r="A20" s="40" t="s">
        <v>12</v>
      </c>
      <c r="B20" s="100" t="s">
        <v>171</v>
      </c>
      <c r="C20" s="107">
        <v>68537</v>
      </c>
      <c r="D20" s="36">
        <f t="shared" si="2"/>
        <v>68537</v>
      </c>
      <c r="E20" s="87" t="str">
        <f t="shared" si="0"/>
        <v>-</v>
      </c>
      <c r="F20" s="88">
        <f t="shared" si="1"/>
        <v>1</v>
      </c>
      <c r="H20" s="118"/>
    </row>
    <row r="21" spans="1:8" ht="31.5" customHeight="1">
      <c r="A21" s="40" t="s">
        <v>14</v>
      </c>
      <c r="B21" s="46" t="s">
        <v>13</v>
      </c>
      <c r="C21" s="107">
        <v>29911</v>
      </c>
      <c r="D21" s="36">
        <f t="shared" si="2"/>
        <v>29911</v>
      </c>
      <c r="E21" s="87" t="str">
        <f t="shared" si="0"/>
        <v>-</v>
      </c>
      <c r="F21" s="88">
        <f t="shared" si="1"/>
        <v>1</v>
      </c>
      <c r="H21" s="118"/>
    </row>
    <row r="22" spans="1:8" ht="31.5" customHeight="1">
      <c r="A22" s="41" t="s">
        <v>15</v>
      </c>
      <c r="B22" s="100" t="s">
        <v>173</v>
      </c>
      <c r="C22" s="107">
        <v>393815</v>
      </c>
      <c r="D22" s="36">
        <f t="shared" si="2"/>
        <v>393815</v>
      </c>
      <c r="E22" s="87" t="str">
        <f t="shared" si="0"/>
        <v>-</v>
      </c>
      <c r="F22" s="88">
        <f t="shared" si="1"/>
        <v>1</v>
      </c>
      <c r="H22" s="118"/>
    </row>
    <row r="23" spans="1:8" ht="31.5" customHeight="1">
      <c r="A23" s="39" t="s">
        <v>178</v>
      </c>
      <c r="B23" s="45" t="s">
        <v>66</v>
      </c>
      <c r="C23" s="107">
        <v>1694</v>
      </c>
      <c r="D23" s="36">
        <f t="shared" si="2"/>
        <v>1694</v>
      </c>
      <c r="E23" s="87" t="str">
        <f t="shared" si="0"/>
        <v>-</v>
      </c>
      <c r="F23" s="88">
        <f t="shared" si="1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 t="shared" si="2"/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 t="shared" si="2"/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 t="shared" si="2"/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48" t="s">
        <v>142</v>
      </c>
      <c r="C27" s="107">
        <v>22722</v>
      </c>
      <c r="D27" s="36">
        <f t="shared" si="2"/>
        <v>22722</v>
      </c>
      <c r="E27" s="87" t="str">
        <f>IF(C27=D27,"-",D27-C27)</f>
        <v>-</v>
      </c>
      <c r="F27" s="88">
        <f>IF(C27=0,"-",D27/C27)</f>
        <v>1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>C28</f>
        <v>0</v>
      </c>
      <c r="E28" s="15" t="str">
        <f t="shared" si="0"/>
        <v>-</v>
      </c>
      <c r="F28" s="116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99850</v>
      </c>
      <c r="D29" s="115">
        <v>99850</v>
      </c>
      <c r="E29" s="15" t="str">
        <f t="shared" si="0"/>
        <v>-</v>
      </c>
      <c r="F29" s="116">
        <f t="shared" si="1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22610</v>
      </c>
      <c r="D30" s="34">
        <f>D31+D32+D33+D41+D42+D48+D49+D50+D47</f>
        <v>22610</v>
      </c>
      <c r="E30" s="13" t="str">
        <f>IF(C30=D30,"-",D30-C30)</f>
        <v>-</v>
      </c>
      <c r="F30" s="89">
        <f t="shared" si="1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861</v>
      </c>
      <c r="D31" s="35">
        <f>C31</f>
        <v>861</v>
      </c>
      <c r="E31" s="87" t="str">
        <f aca="true" t="shared" si="3" ref="E31:E51">IF(C31=D31,"-",D31-C31)</f>
        <v>-</v>
      </c>
      <c r="F31" s="88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2218</v>
      </c>
      <c r="D32" s="35">
        <f>C32</f>
        <v>2218</v>
      </c>
      <c r="E32" s="87" t="str">
        <f t="shared" si="3"/>
        <v>-</v>
      </c>
      <c r="F32" s="88">
        <f t="shared" si="1"/>
        <v>1</v>
      </c>
      <c r="H32" s="118"/>
    </row>
    <row r="33" spans="1:8" ht="28.5" customHeight="1">
      <c r="A33" s="42" t="s">
        <v>23</v>
      </c>
      <c r="B33" s="51" t="s">
        <v>37</v>
      </c>
      <c r="C33" s="35">
        <v>103</v>
      </c>
      <c r="D33" s="35">
        <f>D34+D36+D37+D38+D39+D40</f>
        <v>103</v>
      </c>
      <c r="E33" s="87" t="str">
        <f t="shared" si="3"/>
        <v>-</v>
      </c>
      <c r="F33" s="88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22</v>
      </c>
      <c r="D34" s="35">
        <f>C34</f>
        <v>22</v>
      </c>
      <c r="E34" s="87" t="str">
        <f t="shared" si="3"/>
        <v>-</v>
      </c>
      <c r="F34" s="88">
        <f t="shared" si="1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22</v>
      </c>
      <c r="D35" s="35">
        <f aca="true" t="shared" si="4" ref="D35:D47">C35</f>
        <v>22</v>
      </c>
      <c r="E35" s="87" t="str">
        <f t="shared" si="3"/>
        <v>-</v>
      </c>
      <c r="F35" s="88">
        <f t="shared" si="1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0</v>
      </c>
      <c r="D36" s="35">
        <f t="shared" si="4"/>
        <v>0</v>
      </c>
      <c r="E36" s="87" t="str">
        <f t="shared" si="3"/>
        <v>-</v>
      </c>
      <c r="F36" s="88" t="str">
        <f t="shared" si="1"/>
        <v>-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4"/>
        <v>0</v>
      </c>
      <c r="E37" s="87" t="str">
        <f t="shared" si="3"/>
        <v>-</v>
      </c>
      <c r="F37" s="88" t="str">
        <f t="shared" si="1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4"/>
        <v>0</v>
      </c>
      <c r="E38" s="87" t="str">
        <f t="shared" si="3"/>
        <v>-</v>
      </c>
      <c r="F38" s="88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52</v>
      </c>
      <c r="D39" s="35">
        <f t="shared" si="4"/>
        <v>52</v>
      </c>
      <c r="E39" s="87" t="str">
        <f t="shared" si="3"/>
        <v>-</v>
      </c>
      <c r="F39" s="88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29</v>
      </c>
      <c r="D40" s="35">
        <f t="shared" si="4"/>
        <v>29</v>
      </c>
      <c r="E40" s="87" t="str">
        <f t="shared" si="3"/>
        <v>-</v>
      </c>
      <c r="F40" s="88">
        <f t="shared" si="1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12812</v>
      </c>
      <c r="D41" s="35">
        <f t="shared" si="4"/>
        <v>12812</v>
      </c>
      <c r="E41" s="87" t="str">
        <f t="shared" si="3"/>
        <v>-</v>
      </c>
      <c r="F41" s="88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v>2588</v>
      </c>
      <c r="D42" s="35">
        <f>SUM(D43:D46)</f>
        <v>2588</v>
      </c>
      <c r="E42" s="87" t="str">
        <f t="shared" si="3"/>
        <v>-</v>
      </c>
      <c r="F42" s="88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1946</v>
      </c>
      <c r="D43" s="35">
        <f>C43</f>
        <v>1946</v>
      </c>
      <c r="E43" s="87" t="str">
        <f t="shared" si="3"/>
        <v>-</v>
      </c>
      <c r="F43" s="88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314</v>
      </c>
      <c r="D44" s="35">
        <f>C44</f>
        <v>314</v>
      </c>
      <c r="E44" s="87" t="str">
        <f t="shared" si="3"/>
        <v>-</v>
      </c>
      <c r="F44" s="88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7" t="str">
        <f t="shared" si="3"/>
        <v>-</v>
      </c>
      <c r="F45" s="88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328</v>
      </c>
      <c r="D46" s="35">
        <f>C46</f>
        <v>328</v>
      </c>
      <c r="E46" s="87" t="str">
        <f t="shared" si="3"/>
        <v>-</v>
      </c>
      <c r="F46" s="88">
        <f t="shared" si="1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4"/>
        <v>0</v>
      </c>
      <c r="E47" s="87" t="str">
        <f t="shared" si="3"/>
        <v>-</v>
      </c>
      <c r="F47" s="88" t="str">
        <f aca="true" t="shared" si="5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3335</v>
      </c>
      <c r="D48" s="35">
        <f>C48</f>
        <v>3335</v>
      </c>
      <c r="E48" s="87" t="str">
        <f t="shared" si="3"/>
        <v>-</v>
      </c>
      <c r="F48" s="90">
        <f t="shared" si="5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480</v>
      </c>
      <c r="D49" s="35">
        <f>C49</f>
        <v>480</v>
      </c>
      <c r="E49" s="87" t="str">
        <f t="shared" si="3"/>
        <v>-</v>
      </c>
      <c r="F49" s="90">
        <f t="shared" si="5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213</v>
      </c>
      <c r="D50" s="35">
        <f>C50</f>
        <v>213</v>
      </c>
      <c r="E50" s="87" t="str">
        <f t="shared" si="3"/>
        <v>-</v>
      </c>
      <c r="F50" s="88">
        <f t="shared" si="5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10554</v>
      </c>
      <c r="D51" s="38">
        <f>SUM(D52:D55)</f>
        <v>10554</v>
      </c>
      <c r="E51" s="13" t="str">
        <f t="shared" si="3"/>
        <v>-</v>
      </c>
      <c r="F51" s="91">
        <f t="shared" si="5"/>
        <v>1</v>
      </c>
      <c r="H51" s="118"/>
    </row>
    <row r="52" spans="1:8" ht="42" customHeight="1">
      <c r="A52" s="42" t="s">
        <v>119</v>
      </c>
      <c r="B52" s="51" t="s">
        <v>144</v>
      </c>
      <c r="C52" s="92">
        <v>247</v>
      </c>
      <c r="D52" s="35">
        <f>C52-200</f>
        <v>47</v>
      </c>
      <c r="E52" s="92">
        <f>IF(C52=D52,"-",D52-C52)</f>
        <v>-200</v>
      </c>
      <c r="F52" s="98">
        <f t="shared" si="5"/>
        <v>0.1903</v>
      </c>
      <c r="H52" s="118"/>
    </row>
    <row r="53" spans="1:8" ht="31.5" customHeight="1">
      <c r="A53" s="42" t="s">
        <v>35</v>
      </c>
      <c r="B53" s="51" t="s">
        <v>63</v>
      </c>
      <c r="C53" s="92">
        <v>10057</v>
      </c>
      <c r="D53" s="35">
        <f>C53</f>
        <v>10057</v>
      </c>
      <c r="E53" s="92" t="str">
        <f>IF(C53=D53,"-",D53-C53)</f>
        <v>-</v>
      </c>
      <c r="F53" s="98">
        <f t="shared" si="5"/>
        <v>1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5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250</v>
      </c>
      <c r="D55" s="35">
        <f>C55+200</f>
        <v>450</v>
      </c>
      <c r="E55" s="92">
        <f>IF(C55=D55,"-",D55-C55)</f>
        <v>200</v>
      </c>
      <c r="F55" s="98">
        <f t="shared" si="5"/>
        <v>1.8</v>
      </c>
      <c r="H55" s="118"/>
    </row>
    <row r="56" spans="1:8" ht="32.25" customHeight="1">
      <c r="A56" s="44" t="s">
        <v>127</v>
      </c>
      <c r="B56" s="56" t="s">
        <v>154</v>
      </c>
      <c r="C56" s="109">
        <v>1888</v>
      </c>
      <c r="D56" s="38">
        <f>C56</f>
        <v>1888</v>
      </c>
      <c r="E56" s="13" t="str">
        <f>IF(C56=D56,"-",D56-C56)</f>
        <v>-</v>
      </c>
      <c r="F56" s="91">
        <f>IF(C56=0,"-",D56/C56)</f>
        <v>1</v>
      </c>
      <c r="H56" s="118"/>
    </row>
    <row r="72" ht="54" customHeight="1"/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74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8" width="9.125" style="2" customWidth="1"/>
    <col min="9" max="16384" width="9.125" style="2" customWidth="1"/>
  </cols>
  <sheetData>
    <row r="1" spans="1:6" s="59" customFormat="1" ht="30" customHeight="1">
      <c r="A1" s="162" t="str">
        <f>NFZ!A1</f>
        <v>ZMIANA PLANU FINANSOWEGO NARODOWEGO FUNDUSZU ZDROWIA NA 2010 ROK Z 16 GRUDNIA 2010 R.</v>
      </c>
      <c r="B1" s="162"/>
      <c r="C1" s="162"/>
      <c r="D1" s="162"/>
      <c r="E1" s="162"/>
      <c r="F1" s="162"/>
    </row>
    <row r="2" spans="1:3" s="60" customFormat="1" ht="30.75" customHeight="1">
      <c r="A2" s="163" t="s">
        <v>80</v>
      </c>
      <c r="B2" s="163"/>
      <c r="C2" s="163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65" t="s">
        <v>164</v>
      </c>
      <c r="B4" s="164" t="s">
        <v>62</v>
      </c>
      <c r="C4" s="160" t="s">
        <v>201</v>
      </c>
      <c r="D4" s="157" t="s">
        <v>158</v>
      </c>
      <c r="E4" s="159" t="s">
        <v>163</v>
      </c>
      <c r="F4" s="159" t="s">
        <v>162</v>
      </c>
    </row>
    <row r="5" spans="1:6" s="6" customFormat="1" ht="33" customHeight="1">
      <c r="A5" s="164"/>
      <c r="B5" s="164"/>
      <c r="C5" s="161"/>
      <c r="D5" s="158"/>
      <c r="E5" s="159"/>
      <c r="F5" s="159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1698597</v>
      </c>
      <c r="D7" s="16">
        <f>D8+D9+D10+D12+D13+D14+D15+D16+D17+D18+D19+D20+D21+D22+D24+D25+D26+D27</f>
        <v>1698597</v>
      </c>
      <c r="E7" s="13" t="str">
        <f>IF(C7=D7,"-",D7-C7)</f>
        <v>-</v>
      </c>
      <c r="F7" s="86">
        <f>IF(C7=0,"-",D7/C7)</f>
        <v>1</v>
      </c>
      <c r="H7" s="118"/>
    </row>
    <row r="8" spans="1:8" ht="31.5" customHeight="1">
      <c r="A8" s="40" t="s">
        <v>1</v>
      </c>
      <c r="B8" s="100" t="s">
        <v>165</v>
      </c>
      <c r="C8" s="107">
        <v>223393</v>
      </c>
      <c r="D8" s="36">
        <f>C8</f>
        <v>223393</v>
      </c>
      <c r="E8" s="87" t="str">
        <f aca="true" t="shared" si="0" ref="E8:E29">IF(C8=D8,"-",D8-C8)</f>
        <v>-</v>
      </c>
      <c r="F8" s="88">
        <f aca="true" t="shared" si="1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07">
        <v>138500</v>
      </c>
      <c r="D9" s="36">
        <f aca="true" t="shared" si="2" ref="D9:D25">C9</f>
        <v>138500</v>
      </c>
      <c r="E9" s="87" t="str">
        <f t="shared" si="0"/>
        <v>-</v>
      </c>
      <c r="F9" s="88">
        <f t="shared" si="1"/>
        <v>1</v>
      </c>
      <c r="H9" s="118"/>
    </row>
    <row r="10" spans="1:8" ht="31.5" customHeight="1">
      <c r="A10" s="40" t="s">
        <v>3</v>
      </c>
      <c r="B10" s="100" t="s">
        <v>157</v>
      </c>
      <c r="C10" s="107">
        <v>810730</v>
      </c>
      <c r="D10" s="36">
        <f t="shared" si="2"/>
        <v>810730</v>
      </c>
      <c r="E10" s="87" t="str">
        <f t="shared" si="0"/>
        <v>-</v>
      </c>
      <c r="F10" s="88">
        <f t="shared" si="1"/>
        <v>1</v>
      </c>
      <c r="H10" s="118"/>
    </row>
    <row r="11" spans="1:8" ht="31.5" customHeight="1">
      <c r="A11" s="101" t="s">
        <v>64</v>
      </c>
      <c r="B11" s="45" t="s">
        <v>65</v>
      </c>
      <c r="C11" s="107">
        <v>45000</v>
      </c>
      <c r="D11" s="36">
        <f t="shared" si="2"/>
        <v>45000</v>
      </c>
      <c r="E11" s="87" t="str">
        <f t="shared" si="0"/>
        <v>-</v>
      </c>
      <c r="F11" s="88">
        <f t="shared" si="1"/>
        <v>1</v>
      </c>
      <c r="H11" s="118"/>
    </row>
    <row r="12" spans="1:8" ht="31.5" customHeight="1">
      <c r="A12" s="40" t="s">
        <v>4</v>
      </c>
      <c r="B12" s="100" t="s">
        <v>172</v>
      </c>
      <c r="C12" s="107">
        <v>67299</v>
      </c>
      <c r="D12" s="36">
        <f t="shared" si="2"/>
        <v>67299</v>
      </c>
      <c r="E12" s="87" t="str">
        <f t="shared" si="0"/>
        <v>-</v>
      </c>
      <c r="F12" s="88">
        <f t="shared" si="1"/>
        <v>1</v>
      </c>
      <c r="H12" s="118"/>
    </row>
    <row r="13" spans="1:8" ht="31.5" customHeight="1">
      <c r="A13" s="40" t="s">
        <v>5</v>
      </c>
      <c r="B13" s="100" t="s">
        <v>167</v>
      </c>
      <c r="C13" s="107">
        <v>40080</v>
      </c>
      <c r="D13" s="36">
        <f t="shared" si="2"/>
        <v>40080</v>
      </c>
      <c r="E13" s="87" t="str">
        <f t="shared" si="0"/>
        <v>-</v>
      </c>
      <c r="F13" s="88">
        <f t="shared" si="1"/>
        <v>1</v>
      </c>
      <c r="H13" s="118"/>
    </row>
    <row r="14" spans="1:8" ht="31.5" customHeight="1">
      <c r="A14" s="40" t="s">
        <v>6</v>
      </c>
      <c r="B14" s="100" t="s">
        <v>176</v>
      </c>
      <c r="C14" s="107">
        <v>20807</v>
      </c>
      <c r="D14" s="36">
        <f t="shared" si="2"/>
        <v>20807</v>
      </c>
      <c r="E14" s="87" t="str">
        <f t="shared" si="0"/>
        <v>-</v>
      </c>
      <c r="F14" s="88">
        <f t="shared" si="1"/>
        <v>1</v>
      </c>
      <c r="H14" s="118"/>
    </row>
    <row r="15" spans="1:8" ht="31.5" customHeight="1">
      <c r="A15" s="40" t="s">
        <v>7</v>
      </c>
      <c r="B15" s="100" t="s">
        <v>175</v>
      </c>
      <c r="C15" s="107">
        <v>7552</v>
      </c>
      <c r="D15" s="36">
        <f t="shared" si="2"/>
        <v>7552</v>
      </c>
      <c r="E15" s="87" t="str">
        <f>IF(C15=D15,"-",D15-C15)</f>
        <v>-</v>
      </c>
      <c r="F15" s="88">
        <f>IF(C15=0,"-",D15/C15)</f>
        <v>1</v>
      </c>
      <c r="H15" s="118"/>
    </row>
    <row r="16" spans="1:8" ht="31.5" customHeight="1">
      <c r="A16" s="40" t="s">
        <v>8</v>
      </c>
      <c r="B16" s="100" t="s">
        <v>168</v>
      </c>
      <c r="C16" s="107">
        <v>60186</v>
      </c>
      <c r="D16" s="36">
        <f t="shared" si="2"/>
        <v>60186</v>
      </c>
      <c r="E16" s="87" t="str">
        <f t="shared" si="0"/>
        <v>-</v>
      </c>
      <c r="F16" s="88">
        <f t="shared" si="1"/>
        <v>1</v>
      </c>
      <c r="H16" s="118"/>
    </row>
    <row r="17" spans="1:8" ht="31.5" customHeight="1">
      <c r="A17" s="40" t="s">
        <v>9</v>
      </c>
      <c r="B17" s="100" t="s">
        <v>169</v>
      </c>
      <c r="C17" s="107">
        <v>14230</v>
      </c>
      <c r="D17" s="36">
        <f t="shared" si="2"/>
        <v>14230</v>
      </c>
      <c r="E17" s="87" t="str">
        <f t="shared" si="0"/>
        <v>-</v>
      </c>
      <c r="F17" s="88">
        <f t="shared" si="1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1200</v>
      </c>
      <c r="D18" s="36">
        <f t="shared" si="2"/>
        <v>1200</v>
      </c>
      <c r="E18" s="87" t="str">
        <f t="shared" si="0"/>
        <v>-</v>
      </c>
      <c r="F18" s="88">
        <f t="shared" si="1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4700</v>
      </c>
      <c r="D19" s="36">
        <f t="shared" si="2"/>
        <v>4700</v>
      </c>
      <c r="E19" s="87" t="str">
        <f t="shared" si="0"/>
        <v>-</v>
      </c>
      <c r="F19" s="88">
        <f t="shared" si="1"/>
        <v>1</v>
      </c>
      <c r="H19" s="118"/>
    </row>
    <row r="20" spans="1:8" ht="31.5" customHeight="1">
      <c r="A20" s="40" t="s">
        <v>12</v>
      </c>
      <c r="B20" s="100" t="s">
        <v>171</v>
      </c>
      <c r="C20" s="107">
        <v>34400</v>
      </c>
      <c r="D20" s="36">
        <f t="shared" si="2"/>
        <v>34400</v>
      </c>
      <c r="E20" s="87" t="str">
        <f t="shared" si="0"/>
        <v>-</v>
      </c>
      <c r="F20" s="88">
        <f t="shared" si="1"/>
        <v>1</v>
      </c>
      <c r="H20" s="118"/>
    </row>
    <row r="21" spans="1:8" ht="31.5" customHeight="1">
      <c r="A21" s="40" t="s">
        <v>14</v>
      </c>
      <c r="B21" s="46" t="s">
        <v>13</v>
      </c>
      <c r="C21" s="107">
        <v>18220</v>
      </c>
      <c r="D21" s="36">
        <f t="shared" si="2"/>
        <v>18220</v>
      </c>
      <c r="E21" s="87" t="str">
        <f t="shared" si="0"/>
        <v>-</v>
      </c>
      <c r="F21" s="88">
        <f t="shared" si="1"/>
        <v>1</v>
      </c>
      <c r="H21" s="118"/>
    </row>
    <row r="22" spans="1:8" ht="31.5" customHeight="1">
      <c r="A22" s="41" t="s">
        <v>15</v>
      </c>
      <c r="B22" s="100" t="s">
        <v>173</v>
      </c>
      <c r="C22" s="107">
        <v>241800</v>
      </c>
      <c r="D22" s="36">
        <f t="shared" si="2"/>
        <v>241800</v>
      </c>
      <c r="E22" s="87" t="str">
        <f t="shared" si="0"/>
        <v>-</v>
      </c>
      <c r="F22" s="88">
        <f t="shared" si="1"/>
        <v>1</v>
      </c>
      <c r="H22" s="118"/>
    </row>
    <row r="23" spans="1:8" ht="31.5" customHeight="1">
      <c r="A23" s="39" t="s">
        <v>178</v>
      </c>
      <c r="B23" s="45" t="s">
        <v>66</v>
      </c>
      <c r="C23" s="107">
        <v>2000</v>
      </c>
      <c r="D23" s="36">
        <f t="shared" si="2"/>
        <v>2000</v>
      </c>
      <c r="E23" s="87" t="str">
        <f t="shared" si="0"/>
        <v>-</v>
      </c>
      <c r="F23" s="88">
        <f t="shared" si="1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 t="shared" si="2"/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 t="shared" si="2"/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>C26</f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15500</v>
      </c>
      <c r="D27" s="36">
        <f>C27</f>
        <v>15500</v>
      </c>
      <c r="E27" s="87" t="str">
        <f>IF(C27=D27,"-",D27-C27)</f>
        <v>-</v>
      </c>
      <c r="F27" s="88">
        <f>IF(C27=0,"-",D27/C27)</f>
        <v>1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>C28</f>
        <v>0</v>
      </c>
      <c r="E28" s="15" t="str">
        <f t="shared" si="0"/>
        <v>-</v>
      </c>
      <c r="F28" s="116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63855</v>
      </c>
      <c r="D29" s="115">
        <v>63855</v>
      </c>
      <c r="E29" s="15" t="str">
        <f t="shared" si="0"/>
        <v>-</v>
      </c>
      <c r="F29" s="116">
        <f t="shared" si="1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14393</v>
      </c>
      <c r="D30" s="34">
        <f>D31+D32+D33+D41+D42+D48+D49+D50+D47</f>
        <v>14393</v>
      </c>
      <c r="E30" s="13" t="str">
        <f>IF(C30=D30,"-",D30-C30)</f>
        <v>-</v>
      </c>
      <c r="F30" s="89">
        <f t="shared" si="1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558</v>
      </c>
      <c r="D31" s="35">
        <f>C31</f>
        <v>558</v>
      </c>
      <c r="E31" s="87" t="str">
        <f aca="true" t="shared" si="3" ref="E31:E51">IF(C31=D31,"-",D31-C31)</f>
        <v>-</v>
      </c>
      <c r="F31" s="88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913</v>
      </c>
      <c r="D32" s="35">
        <f>C32</f>
        <v>913</v>
      </c>
      <c r="E32" s="87" t="str">
        <f t="shared" si="3"/>
        <v>-</v>
      </c>
      <c r="F32" s="88">
        <f t="shared" si="1"/>
        <v>1</v>
      </c>
      <c r="H32" s="118"/>
    </row>
    <row r="33" spans="1:8" ht="28.5" customHeight="1">
      <c r="A33" s="42" t="s">
        <v>23</v>
      </c>
      <c r="B33" s="51" t="s">
        <v>37</v>
      </c>
      <c r="C33" s="35">
        <v>186</v>
      </c>
      <c r="D33" s="35">
        <f>D34+D36+D37+D38+D39+D40</f>
        <v>186</v>
      </c>
      <c r="E33" s="87" t="str">
        <f t="shared" si="3"/>
        <v>-</v>
      </c>
      <c r="F33" s="88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15</v>
      </c>
      <c r="D34" s="35">
        <f>C34</f>
        <v>15</v>
      </c>
      <c r="E34" s="87" t="str">
        <f t="shared" si="3"/>
        <v>-</v>
      </c>
      <c r="F34" s="88">
        <f t="shared" si="1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15</v>
      </c>
      <c r="D35" s="35">
        <f aca="true" t="shared" si="4" ref="D35:D47">C35</f>
        <v>15</v>
      </c>
      <c r="E35" s="87" t="str">
        <f t="shared" si="3"/>
        <v>-</v>
      </c>
      <c r="F35" s="88">
        <f t="shared" si="1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34</v>
      </c>
      <c r="D36" s="35">
        <f>C36</f>
        <v>34</v>
      </c>
      <c r="E36" s="87" t="str">
        <f t="shared" si="3"/>
        <v>-</v>
      </c>
      <c r="F36" s="88">
        <f t="shared" si="1"/>
        <v>1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4"/>
        <v>0</v>
      </c>
      <c r="E37" s="87" t="str">
        <f t="shared" si="3"/>
        <v>-</v>
      </c>
      <c r="F37" s="88" t="str">
        <f t="shared" si="1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4"/>
        <v>0</v>
      </c>
      <c r="E38" s="87" t="str">
        <f t="shared" si="3"/>
        <v>-</v>
      </c>
      <c r="F38" s="88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132</v>
      </c>
      <c r="D39" s="35">
        <f>C39</f>
        <v>132</v>
      </c>
      <c r="E39" s="87" t="str">
        <f t="shared" si="3"/>
        <v>-</v>
      </c>
      <c r="F39" s="88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5</v>
      </c>
      <c r="D40" s="35">
        <f t="shared" si="4"/>
        <v>5</v>
      </c>
      <c r="E40" s="87" t="str">
        <f t="shared" si="3"/>
        <v>-</v>
      </c>
      <c r="F40" s="88">
        <f t="shared" si="1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9054</v>
      </c>
      <c r="D41" s="35">
        <f t="shared" si="4"/>
        <v>9054</v>
      </c>
      <c r="E41" s="87" t="str">
        <f t="shared" si="3"/>
        <v>-</v>
      </c>
      <c r="F41" s="88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v>1833</v>
      </c>
      <c r="D42" s="35">
        <f>SUM(D43:D46)</f>
        <v>1833</v>
      </c>
      <c r="E42" s="87" t="str">
        <f t="shared" si="3"/>
        <v>-</v>
      </c>
      <c r="F42" s="88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1356</v>
      </c>
      <c r="D43" s="35">
        <f>C43</f>
        <v>1356</v>
      </c>
      <c r="E43" s="87" t="str">
        <f t="shared" si="3"/>
        <v>-</v>
      </c>
      <c r="F43" s="88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222</v>
      </c>
      <c r="D44" s="35">
        <f>C44</f>
        <v>222</v>
      </c>
      <c r="E44" s="87" t="str">
        <f t="shared" si="3"/>
        <v>-</v>
      </c>
      <c r="F44" s="88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7" t="str">
        <f t="shared" si="3"/>
        <v>-</v>
      </c>
      <c r="F45" s="88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255</v>
      </c>
      <c r="D46" s="35">
        <f>C46</f>
        <v>255</v>
      </c>
      <c r="E46" s="87" t="str">
        <f t="shared" si="3"/>
        <v>-</v>
      </c>
      <c r="F46" s="88">
        <f t="shared" si="1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4"/>
        <v>0</v>
      </c>
      <c r="E47" s="87" t="str">
        <f t="shared" si="3"/>
        <v>-</v>
      </c>
      <c r="F47" s="88" t="str">
        <f aca="true" t="shared" si="5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1400</v>
      </c>
      <c r="D48" s="35">
        <f>C48</f>
        <v>1400</v>
      </c>
      <c r="E48" s="87" t="str">
        <f t="shared" si="3"/>
        <v>-</v>
      </c>
      <c r="F48" s="90">
        <f t="shared" si="5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227</v>
      </c>
      <c r="D49" s="35">
        <f>C49</f>
        <v>227</v>
      </c>
      <c r="E49" s="87" t="str">
        <f t="shared" si="3"/>
        <v>-</v>
      </c>
      <c r="F49" s="90">
        <f t="shared" si="5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222</v>
      </c>
      <c r="D50" s="35">
        <f>C50</f>
        <v>222</v>
      </c>
      <c r="E50" s="87" t="str">
        <f t="shared" si="3"/>
        <v>-</v>
      </c>
      <c r="F50" s="88">
        <f t="shared" si="5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7121</v>
      </c>
      <c r="D51" s="38">
        <f>SUM(D52:D55)</f>
        <v>12267</v>
      </c>
      <c r="E51" s="13">
        <f t="shared" si="3"/>
        <v>5146</v>
      </c>
      <c r="F51" s="91">
        <f t="shared" si="5"/>
        <v>1.7227</v>
      </c>
      <c r="H51" s="118"/>
    </row>
    <row r="52" spans="1:8" ht="42" customHeight="1">
      <c r="A52" s="42" t="s">
        <v>119</v>
      </c>
      <c r="B52" s="51" t="s">
        <v>144</v>
      </c>
      <c r="C52" s="92">
        <v>175</v>
      </c>
      <c r="D52" s="35">
        <f>C52-173</f>
        <v>2</v>
      </c>
      <c r="E52" s="92">
        <f>IF(C52=D52,"-",D52-C52)</f>
        <v>-173</v>
      </c>
      <c r="F52" s="98">
        <f t="shared" si="5"/>
        <v>0.0114</v>
      </c>
      <c r="H52" s="118"/>
    </row>
    <row r="53" spans="1:8" ht="31.5" customHeight="1">
      <c r="A53" s="42" t="s">
        <v>35</v>
      </c>
      <c r="B53" s="51" t="s">
        <v>63</v>
      </c>
      <c r="C53" s="92">
        <v>6496</v>
      </c>
      <c r="D53" s="35">
        <f>C53+5212</f>
        <v>11708</v>
      </c>
      <c r="E53" s="92">
        <f>IF(C53=D53,"-",D53-C53)</f>
        <v>5212</v>
      </c>
      <c r="F53" s="98">
        <f t="shared" si="5"/>
        <v>1.8023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5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450</v>
      </c>
      <c r="D55" s="35">
        <f>C55+107</f>
        <v>557</v>
      </c>
      <c r="E55" s="92">
        <f>IF(C55=D55,"-",D55-C55)</f>
        <v>107</v>
      </c>
      <c r="F55" s="98">
        <f t="shared" si="5"/>
        <v>1.2378</v>
      </c>
      <c r="H55" s="118"/>
    </row>
    <row r="56" spans="1:8" ht="32.25" customHeight="1">
      <c r="A56" s="44" t="s">
        <v>127</v>
      </c>
      <c r="B56" s="56" t="s">
        <v>154</v>
      </c>
      <c r="C56" s="109">
        <v>48</v>
      </c>
      <c r="D56" s="38">
        <f>C56+307</f>
        <v>355</v>
      </c>
      <c r="E56" s="13">
        <f>IF(C56=D56,"-",D56-C56)</f>
        <v>307</v>
      </c>
      <c r="F56" s="91">
        <f>IF(C56=0,"-",D56/C56)</f>
        <v>7.3958</v>
      </c>
      <c r="H56" s="118"/>
    </row>
    <row r="72" ht="54" customHeight="1"/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G74"/>
  <sheetViews>
    <sheetView showGridLines="0" zoomScale="55" zoomScaleNormal="55" zoomScaleSheetLayoutView="55" zoomScalePageLayoutView="0" workbookViewId="0" topLeftCell="A1">
      <pane xSplit="2" ySplit="7" topLeftCell="C42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8" width="9.125" style="2" customWidth="1"/>
    <col min="9" max="16384" width="9.125" style="2" customWidth="1"/>
  </cols>
  <sheetData>
    <row r="1" spans="1:6" s="59" customFormat="1" ht="30" customHeight="1">
      <c r="A1" s="162" t="str">
        <f>NFZ!A1</f>
        <v>ZMIANA PLANU FINANSOWEGO NARODOWEGO FUNDUSZU ZDROWIA NA 2010 ROK Z 16 GRUDNIA 2010 R.</v>
      </c>
      <c r="B1" s="162"/>
      <c r="C1" s="162"/>
      <c r="D1" s="162"/>
      <c r="E1" s="162"/>
      <c r="F1" s="162"/>
    </row>
    <row r="2" spans="1:3" s="60" customFormat="1" ht="30.75" customHeight="1">
      <c r="A2" s="163" t="s">
        <v>81</v>
      </c>
      <c r="B2" s="163"/>
      <c r="C2" s="163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137" s="6" customFormat="1" ht="33" customHeight="1">
      <c r="A4" s="165" t="s">
        <v>164</v>
      </c>
      <c r="B4" s="164" t="s">
        <v>62</v>
      </c>
      <c r="C4" s="160" t="s">
        <v>201</v>
      </c>
      <c r="D4" s="157" t="s">
        <v>158</v>
      </c>
      <c r="E4" s="159" t="s">
        <v>163</v>
      </c>
      <c r="F4" s="159" t="s">
        <v>162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</row>
    <row r="5" spans="1:137" s="6" customFormat="1" ht="33" customHeight="1">
      <c r="A5" s="164"/>
      <c r="B5" s="164"/>
      <c r="C5" s="161"/>
      <c r="D5" s="158"/>
      <c r="E5" s="159"/>
      <c r="F5" s="159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</row>
    <row r="6" spans="1:137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</row>
    <row r="7" spans="1:137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3334367</v>
      </c>
      <c r="D7" s="16">
        <f>D8+D9+D10+D12+D13+D14+D15+D16+D17+D18+D19+D20+D21+D22+D24+D25+D26+D27</f>
        <v>3334367</v>
      </c>
      <c r="E7" s="13" t="str">
        <f>IF(C7=D7,"-",D7-C7)</f>
        <v>-</v>
      </c>
      <c r="F7" s="86">
        <f>IF(C7=0,"-",D7/C7)</f>
        <v>1</v>
      </c>
      <c r="G7" s="2"/>
      <c r="H7" s="11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</row>
    <row r="8" spans="1:8" ht="31.5" customHeight="1">
      <c r="A8" s="40" t="s">
        <v>1</v>
      </c>
      <c r="B8" s="100" t="s">
        <v>165</v>
      </c>
      <c r="C8" s="107">
        <v>416383</v>
      </c>
      <c r="D8" s="36">
        <f aca="true" t="shared" si="0" ref="D8:D22">C8</f>
        <v>416383</v>
      </c>
      <c r="E8" s="87" t="str">
        <f aca="true" t="shared" si="1" ref="E8:E29">IF(C8=D8,"-",D8-C8)</f>
        <v>-</v>
      </c>
      <c r="F8" s="88">
        <f aca="true" t="shared" si="2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07">
        <v>281057</v>
      </c>
      <c r="D9" s="36">
        <f t="shared" si="0"/>
        <v>281057</v>
      </c>
      <c r="E9" s="87" t="str">
        <f t="shared" si="1"/>
        <v>-</v>
      </c>
      <c r="F9" s="88">
        <f t="shared" si="2"/>
        <v>1</v>
      </c>
      <c r="H9" s="118"/>
    </row>
    <row r="10" spans="1:8" ht="31.5" customHeight="1">
      <c r="A10" s="40" t="s">
        <v>3</v>
      </c>
      <c r="B10" s="100" t="s">
        <v>157</v>
      </c>
      <c r="C10" s="107">
        <v>1570031</v>
      </c>
      <c r="D10" s="36">
        <f t="shared" si="0"/>
        <v>1570031</v>
      </c>
      <c r="E10" s="87" t="str">
        <f t="shared" si="1"/>
        <v>-</v>
      </c>
      <c r="F10" s="88">
        <f t="shared" si="2"/>
        <v>1</v>
      </c>
      <c r="H10" s="118"/>
    </row>
    <row r="11" spans="1:8" ht="31.5" customHeight="1">
      <c r="A11" s="101" t="s">
        <v>64</v>
      </c>
      <c r="B11" s="45" t="s">
        <v>65</v>
      </c>
      <c r="C11" s="107">
        <v>79699</v>
      </c>
      <c r="D11" s="36">
        <f t="shared" si="0"/>
        <v>79699</v>
      </c>
      <c r="E11" s="87" t="str">
        <f t="shared" si="1"/>
        <v>-</v>
      </c>
      <c r="F11" s="88">
        <f t="shared" si="2"/>
        <v>1</v>
      </c>
      <c r="H11" s="118"/>
    </row>
    <row r="12" spans="1:8" ht="31.5" customHeight="1">
      <c r="A12" s="40" t="s">
        <v>4</v>
      </c>
      <c r="B12" s="100" t="s">
        <v>172</v>
      </c>
      <c r="C12" s="107">
        <v>121057</v>
      </c>
      <c r="D12" s="36">
        <f t="shared" si="0"/>
        <v>121057</v>
      </c>
      <c r="E12" s="87" t="str">
        <f t="shared" si="1"/>
        <v>-</v>
      </c>
      <c r="F12" s="88">
        <f t="shared" si="2"/>
        <v>1</v>
      </c>
      <c r="H12" s="118"/>
    </row>
    <row r="13" spans="1:8" ht="31.5" customHeight="1">
      <c r="A13" s="40" t="s">
        <v>5</v>
      </c>
      <c r="B13" s="100" t="s">
        <v>167</v>
      </c>
      <c r="C13" s="107">
        <v>92168</v>
      </c>
      <c r="D13" s="36">
        <f t="shared" si="0"/>
        <v>92168</v>
      </c>
      <c r="E13" s="87" t="str">
        <f t="shared" si="1"/>
        <v>-</v>
      </c>
      <c r="F13" s="88">
        <f t="shared" si="2"/>
        <v>1</v>
      </c>
      <c r="H13" s="118"/>
    </row>
    <row r="14" spans="1:8" ht="31.5" customHeight="1">
      <c r="A14" s="40" t="s">
        <v>6</v>
      </c>
      <c r="B14" s="100" t="s">
        <v>176</v>
      </c>
      <c r="C14" s="107">
        <v>30353</v>
      </c>
      <c r="D14" s="36">
        <f t="shared" si="0"/>
        <v>30353</v>
      </c>
      <c r="E14" s="87" t="str">
        <f t="shared" si="1"/>
        <v>-</v>
      </c>
      <c r="F14" s="88">
        <f t="shared" si="2"/>
        <v>1</v>
      </c>
      <c r="H14" s="118"/>
    </row>
    <row r="15" spans="1:8" ht="31.5" customHeight="1">
      <c r="A15" s="40" t="s">
        <v>7</v>
      </c>
      <c r="B15" s="100" t="s">
        <v>175</v>
      </c>
      <c r="C15" s="107">
        <v>18403</v>
      </c>
      <c r="D15" s="36">
        <f t="shared" si="0"/>
        <v>18403</v>
      </c>
      <c r="E15" s="87" t="str">
        <f>IF(C15=D15,"-",D15-C15)</f>
        <v>-</v>
      </c>
      <c r="F15" s="88">
        <f>IF(C15=0,"-",D15/C15)</f>
        <v>1</v>
      </c>
      <c r="H15" s="118"/>
    </row>
    <row r="16" spans="1:8" ht="31.5" customHeight="1">
      <c r="A16" s="40" t="s">
        <v>8</v>
      </c>
      <c r="B16" s="100" t="s">
        <v>168</v>
      </c>
      <c r="C16" s="107">
        <v>103709</v>
      </c>
      <c r="D16" s="36">
        <f t="shared" si="0"/>
        <v>103709</v>
      </c>
      <c r="E16" s="87" t="str">
        <f t="shared" si="1"/>
        <v>-</v>
      </c>
      <c r="F16" s="88">
        <f t="shared" si="2"/>
        <v>1</v>
      </c>
      <c r="H16" s="118"/>
    </row>
    <row r="17" spans="1:8" ht="31.5" customHeight="1">
      <c r="A17" s="40" t="s">
        <v>9</v>
      </c>
      <c r="B17" s="100" t="s">
        <v>169</v>
      </c>
      <c r="C17" s="107">
        <v>27000</v>
      </c>
      <c r="D17" s="36">
        <f t="shared" si="0"/>
        <v>27000</v>
      </c>
      <c r="E17" s="87" t="str">
        <f t="shared" si="1"/>
        <v>-</v>
      </c>
      <c r="F17" s="88">
        <f t="shared" si="2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1299</v>
      </c>
      <c r="D18" s="36">
        <f t="shared" si="0"/>
        <v>1299</v>
      </c>
      <c r="E18" s="87" t="str">
        <f t="shared" si="1"/>
        <v>-</v>
      </c>
      <c r="F18" s="88">
        <f t="shared" si="2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10942</v>
      </c>
      <c r="D19" s="36">
        <f t="shared" si="0"/>
        <v>10942</v>
      </c>
      <c r="E19" s="87" t="str">
        <f t="shared" si="1"/>
        <v>-</v>
      </c>
      <c r="F19" s="88">
        <f t="shared" si="2"/>
        <v>1</v>
      </c>
      <c r="H19" s="118"/>
    </row>
    <row r="20" spans="1:8" ht="31.5" customHeight="1">
      <c r="A20" s="40" t="s">
        <v>12</v>
      </c>
      <c r="B20" s="100" t="s">
        <v>171</v>
      </c>
      <c r="C20" s="107">
        <v>90898</v>
      </c>
      <c r="D20" s="36">
        <f t="shared" si="0"/>
        <v>90898</v>
      </c>
      <c r="E20" s="87" t="str">
        <f t="shared" si="1"/>
        <v>-</v>
      </c>
      <c r="F20" s="88">
        <f t="shared" si="2"/>
        <v>1</v>
      </c>
      <c r="H20" s="118"/>
    </row>
    <row r="21" spans="1:8" ht="31.5" customHeight="1">
      <c r="A21" s="40" t="s">
        <v>14</v>
      </c>
      <c r="B21" s="46" t="s">
        <v>13</v>
      </c>
      <c r="C21" s="107">
        <v>31108</v>
      </c>
      <c r="D21" s="36">
        <f t="shared" si="0"/>
        <v>31108</v>
      </c>
      <c r="E21" s="87" t="str">
        <f t="shared" si="1"/>
        <v>-</v>
      </c>
      <c r="F21" s="88">
        <f t="shared" si="2"/>
        <v>1</v>
      </c>
      <c r="H21" s="118"/>
    </row>
    <row r="22" spans="1:8" ht="31.5" customHeight="1">
      <c r="A22" s="41" t="s">
        <v>15</v>
      </c>
      <c r="B22" s="100" t="s">
        <v>173</v>
      </c>
      <c r="C22" s="107">
        <v>539389</v>
      </c>
      <c r="D22" s="36">
        <f t="shared" si="0"/>
        <v>539389</v>
      </c>
      <c r="E22" s="87" t="str">
        <f t="shared" si="1"/>
        <v>-</v>
      </c>
      <c r="F22" s="88">
        <f t="shared" si="2"/>
        <v>1</v>
      </c>
      <c r="H22" s="118"/>
    </row>
    <row r="23" spans="1:8" ht="31.5" customHeight="1">
      <c r="A23" s="39" t="s">
        <v>178</v>
      </c>
      <c r="B23" s="45" t="s">
        <v>66</v>
      </c>
      <c r="C23" s="107">
        <v>957</v>
      </c>
      <c r="D23" s="36">
        <f aca="true" t="shared" si="3" ref="D23:D28">C23</f>
        <v>957</v>
      </c>
      <c r="E23" s="87" t="str">
        <f t="shared" si="1"/>
        <v>-</v>
      </c>
      <c r="F23" s="88">
        <f t="shared" si="2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 t="shared" si="3"/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 t="shared" si="3"/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 t="shared" si="3"/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570</v>
      </c>
      <c r="D27" s="36">
        <f t="shared" si="3"/>
        <v>570</v>
      </c>
      <c r="E27" s="87" t="str">
        <f>IF(C27=D27,"-",D27-C27)</f>
        <v>-</v>
      </c>
      <c r="F27" s="88">
        <f>IF(C27=0,"-",D27/C27)</f>
        <v>1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 t="shared" si="3"/>
        <v>0</v>
      </c>
      <c r="E28" s="15" t="str">
        <f t="shared" si="1"/>
        <v>-</v>
      </c>
      <c r="F28" s="116" t="str">
        <f t="shared" si="2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96735</v>
      </c>
      <c r="D29" s="115">
        <v>96735</v>
      </c>
      <c r="E29" s="15" t="str">
        <f t="shared" si="1"/>
        <v>-</v>
      </c>
      <c r="F29" s="116">
        <f t="shared" si="2"/>
        <v>1</v>
      </c>
      <c r="H29" s="118"/>
    </row>
    <row r="30" spans="1:137" s="3" customFormat="1" ht="30" customHeight="1">
      <c r="A30" s="37" t="s">
        <v>17</v>
      </c>
      <c r="B30" s="57" t="s">
        <v>18</v>
      </c>
      <c r="C30" s="34">
        <f>C31+C32+C33+C41+C42+C48+C49+C50+C47</f>
        <v>29590</v>
      </c>
      <c r="D30" s="34">
        <f>D31+D32+D33+D41+D42+D48+D49+D50+D47</f>
        <v>29590</v>
      </c>
      <c r="E30" s="13" t="str">
        <f>IF(C30=D30,"-",D30-C30)</f>
        <v>-</v>
      </c>
      <c r="F30" s="89">
        <f t="shared" si="2"/>
        <v>1</v>
      </c>
      <c r="G30" s="2"/>
      <c r="H30" s="11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</row>
    <row r="31" spans="1:8" ht="28.5" customHeight="1">
      <c r="A31" s="42" t="s">
        <v>19</v>
      </c>
      <c r="B31" s="51" t="s">
        <v>20</v>
      </c>
      <c r="C31" s="92">
        <v>1408</v>
      </c>
      <c r="D31" s="35">
        <f>C31</f>
        <v>1408</v>
      </c>
      <c r="E31" s="87" t="str">
        <f aca="true" t="shared" si="4" ref="E31:E51">IF(C31=D31,"-",D31-C31)</f>
        <v>-</v>
      </c>
      <c r="F31" s="88">
        <f t="shared" si="2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3005</v>
      </c>
      <c r="D32" s="35">
        <f>C32</f>
        <v>3005</v>
      </c>
      <c r="E32" s="87" t="str">
        <f t="shared" si="4"/>
        <v>-</v>
      </c>
      <c r="F32" s="88">
        <f t="shared" si="2"/>
        <v>1</v>
      </c>
      <c r="H32" s="118"/>
    </row>
    <row r="33" spans="1:8" ht="28.5" customHeight="1">
      <c r="A33" s="42" t="s">
        <v>23</v>
      </c>
      <c r="B33" s="51" t="s">
        <v>37</v>
      </c>
      <c r="C33" s="35">
        <v>165</v>
      </c>
      <c r="D33" s="35">
        <f>D34+D36+D37+D38+D39+D40</f>
        <v>165</v>
      </c>
      <c r="E33" s="87" t="str">
        <f t="shared" si="4"/>
        <v>-</v>
      </c>
      <c r="F33" s="88">
        <f t="shared" si="2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33</v>
      </c>
      <c r="D34" s="35">
        <f>C34</f>
        <v>33</v>
      </c>
      <c r="E34" s="87" t="str">
        <f t="shared" si="4"/>
        <v>-</v>
      </c>
      <c r="F34" s="88">
        <f t="shared" si="2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33</v>
      </c>
      <c r="D35" s="35">
        <f aca="true" t="shared" si="5" ref="D35:D50">C35</f>
        <v>33</v>
      </c>
      <c r="E35" s="87" t="str">
        <f t="shared" si="4"/>
        <v>-</v>
      </c>
      <c r="F35" s="88">
        <f t="shared" si="2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0</v>
      </c>
      <c r="D36" s="35">
        <f t="shared" si="5"/>
        <v>0</v>
      </c>
      <c r="E36" s="87" t="str">
        <f t="shared" si="4"/>
        <v>-</v>
      </c>
      <c r="F36" s="88" t="str">
        <f t="shared" si="2"/>
        <v>-</v>
      </c>
      <c r="H36" s="118"/>
    </row>
    <row r="37" spans="1:8" ht="28.5" customHeight="1">
      <c r="A37" s="53" t="s">
        <v>48</v>
      </c>
      <c r="B37" s="54" t="s">
        <v>41</v>
      </c>
      <c r="C37" s="92">
        <v>6</v>
      </c>
      <c r="D37" s="35">
        <f t="shared" si="5"/>
        <v>6</v>
      </c>
      <c r="E37" s="87" t="str">
        <f t="shared" si="4"/>
        <v>-</v>
      </c>
      <c r="F37" s="88">
        <f t="shared" si="2"/>
        <v>1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5"/>
        <v>0</v>
      </c>
      <c r="E38" s="87" t="str">
        <f t="shared" si="4"/>
        <v>-</v>
      </c>
      <c r="F38" s="88" t="str">
        <f t="shared" si="2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114</v>
      </c>
      <c r="D39" s="35">
        <f t="shared" si="5"/>
        <v>114</v>
      </c>
      <c r="E39" s="87" t="str">
        <f t="shared" si="4"/>
        <v>-</v>
      </c>
      <c r="F39" s="88">
        <f t="shared" si="2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12</v>
      </c>
      <c r="D40" s="35">
        <f t="shared" si="5"/>
        <v>12</v>
      </c>
      <c r="E40" s="87" t="str">
        <f t="shared" si="4"/>
        <v>-</v>
      </c>
      <c r="F40" s="88">
        <f t="shared" si="2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17671</v>
      </c>
      <c r="D41" s="35">
        <f t="shared" si="5"/>
        <v>17671</v>
      </c>
      <c r="E41" s="87" t="str">
        <f t="shared" si="4"/>
        <v>-</v>
      </c>
      <c r="F41" s="88">
        <f t="shared" si="2"/>
        <v>1</v>
      </c>
      <c r="H41" s="118"/>
    </row>
    <row r="42" spans="1:8" ht="28.5" customHeight="1">
      <c r="A42" s="42" t="s">
        <v>26</v>
      </c>
      <c r="B42" s="52" t="s">
        <v>61</v>
      </c>
      <c r="C42" s="35">
        <v>3582</v>
      </c>
      <c r="D42" s="35">
        <f>SUM(D43:D46)</f>
        <v>3582</v>
      </c>
      <c r="E42" s="87" t="str">
        <f t="shared" si="4"/>
        <v>-</v>
      </c>
      <c r="F42" s="88">
        <f t="shared" si="2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2684</v>
      </c>
      <c r="D43" s="35">
        <f>C43</f>
        <v>2684</v>
      </c>
      <c r="E43" s="87" t="str">
        <f t="shared" si="4"/>
        <v>-</v>
      </c>
      <c r="F43" s="88">
        <f t="shared" si="2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433</v>
      </c>
      <c r="D44" s="35">
        <f>C44</f>
        <v>433</v>
      </c>
      <c r="E44" s="87" t="str">
        <f t="shared" si="4"/>
        <v>-</v>
      </c>
      <c r="F44" s="88">
        <f t="shared" si="2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7" t="str">
        <f t="shared" si="4"/>
        <v>-</v>
      </c>
      <c r="F45" s="88" t="str">
        <f t="shared" si="2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465</v>
      </c>
      <c r="D46" s="35">
        <f t="shared" si="5"/>
        <v>465</v>
      </c>
      <c r="E46" s="87" t="str">
        <f t="shared" si="4"/>
        <v>-</v>
      </c>
      <c r="F46" s="88">
        <f t="shared" si="2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5"/>
        <v>0</v>
      </c>
      <c r="E47" s="87" t="str">
        <f t="shared" si="4"/>
        <v>-</v>
      </c>
      <c r="F47" s="88" t="str">
        <f aca="true" t="shared" si="6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3582</v>
      </c>
      <c r="D48" s="35">
        <f t="shared" si="5"/>
        <v>3582</v>
      </c>
      <c r="E48" s="87" t="str">
        <f t="shared" si="4"/>
        <v>-</v>
      </c>
      <c r="F48" s="90">
        <f t="shared" si="6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0</v>
      </c>
      <c r="D49" s="35">
        <f t="shared" si="5"/>
        <v>0</v>
      </c>
      <c r="E49" s="87" t="str">
        <f t="shared" si="4"/>
        <v>-</v>
      </c>
      <c r="F49" s="90" t="str">
        <f t="shared" si="6"/>
        <v>-</v>
      </c>
      <c r="H49" s="118"/>
    </row>
    <row r="50" spans="1:8" ht="33" customHeight="1">
      <c r="A50" s="42" t="s">
        <v>32</v>
      </c>
      <c r="B50" s="51" t="s">
        <v>33</v>
      </c>
      <c r="C50" s="92">
        <v>177</v>
      </c>
      <c r="D50" s="35">
        <f t="shared" si="5"/>
        <v>177</v>
      </c>
      <c r="E50" s="87" t="str">
        <f t="shared" si="4"/>
        <v>-</v>
      </c>
      <c r="F50" s="88">
        <f t="shared" si="6"/>
        <v>1</v>
      </c>
      <c r="H50" s="118"/>
    </row>
    <row r="51" spans="1:137" s="3" customFormat="1" ht="30" customHeight="1">
      <c r="A51" s="44" t="s">
        <v>34</v>
      </c>
      <c r="B51" s="56" t="s">
        <v>174</v>
      </c>
      <c r="C51" s="38">
        <f>SUM(C52:C55)</f>
        <v>14214</v>
      </c>
      <c r="D51" s="38">
        <f>SUM(D52:D55)</f>
        <v>8711</v>
      </c>
      <c r="E51" s="13">
        <f t="shared" si="4"/>
        <v>-5503</v>
      </c>
      <c r="F51" s="91">
        <f t="shared" si="6"/>
        <v>0.6128</v>
      </c>
      <c r="G51" s="2"/>
      <c r="H51" s="11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</row>
    <row r="52" spans="1:8" ht="42" customHeight="1">
      <c r="A52" s="42" t="s">
        <v>119</v>
      </c>
      <c r="B52" s="51" t="s">
        <v>144</v>
      </c>
      <c r="C52" s="92">
        <v>1161</v>
      </c>
      <c r="D52" s="35">
        <f>C52</f>
        <v>1161</v>
      </c>
      <c r="E52" s="92" t="str">
        <f>IF(C52=D52,"-",D52-C52)</f>
        <v>-</v>
      </c>
      <c r="F52" s="98">
        <f t="shared" si="6"/>
        <v>1</v>
      </c>
      <c r="H52" s="118"/>
    </row>
    <row r="53" spans="1:8" ht="31.5" customHeight="1">
      <c r="A53" s="42" t="s">
        <v>35</v>
      </c>
      <c r="B53" s="51" t="s">
        <v>63</v>
      </c>
      <c r="C53" s="92">
        <v>11453</v>
      </c>
      <c r="D53" s="35">
        <f>C53-4403</f>
        <v>7050</v>
      </c>
      <c r="E53" s="92">
        <f>IF(C53=D53,"-",D53-C53)</f>
        <v>-4403</v>
      </c>
      <c r="F53" s="98">
        <f t="shared" si="6"/>
        <v>0.6156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6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1600</v>
      </c>
      <c r="D55" s="35">
        <f>C55-1100</f>
        <v>500</v>
      </c>
      <c r="E55" s="92">
        <f>IF(C55=D55,"-",D55-C55)</f>
        <v>-1100</v>
      </c>
      <c r="F55" s="98">
        <f t="shared" si="6"/>
        <v>0.3125</v>
      </c>
      <c r="H55" s="118"/>
    </row>
    <row r="56" spans="1:8" ht="32.25" customHeight="1">
      <c r="A56" s="44" t="s">
        <v>127</v>
      </c>
      <c r="B56" s="56" t="s">
        <v>154</v>
      </c>
      <c r="C56" s="109">
        <v>38</v>
      </c>
      <c r="D56" s="38">
        <f>C56+3234</f>
        <v>3272</v>
      </c>
      <c r="E56" s="13">
        <f>IF(C56=D56,"-",D56-C56)</f>
        <v>3234</v>
      </c>
      <c r="F56" s="91">
        <f>IF(C56=0,"-",D56/C56)</f>
        <v>86.1053</v>
      </c>
      <c r="H56" s="118"/>
    </row>
    <row r="72" ht="54" customHeight="1"/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74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8" width="9.125" style="2" customWidth="1"/>
    <col min="9" max="16384" width="9.125" style="2" customWidth="1"/>
  </cols>
  <sheetData>
    <row r="1" spans="1:6" s="59" customFormat="1" ht="30" customHeight="1">
      <c r="A1" s="162" t="str">
        <f>NFZ!A1</f>
        <v>ZMIANA PLANU FINANSOWEGO NARODOWEGO FUNDUSZU ZDROWIA NA 2010 ROK Z 16 GRUDNIA 2010 R.</v>
      </c>
      <c r="B1" s="162"/>
      <c r="C1" s="162"/>
      <c r="D1" s="162"/>
      <c r="E1" s="162"/>
      <c r="F1" s="162"/>
    </row>
    <row r="2" spans="1:3" s="60" customFormat="1" ht="30.75" customHeight="1">
      <c r="A2" s="163" t="s">
        <v>82</v>
      </c>
      <c r="B2" s="163"/>
      <c r="C2" s="163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65" t="s">
        <v>164</v>
      </c>
      <c r="B4" s="164" t="s">
        <v>62</v>
      </c>
      <c r="C4" s="160" t="s">
        <v>201</v>
      </c>
      <c r="D4" s="157" t="s">
        <v>158</v>
      </c>
      <c r="E4" s="159" t="s">
        <v>163</v>
      </c>
      <c r="F4" s="159" t="s">
        <v>162</v>
      </c>
    </row>
    <row r="5" spans="1:6" s="6" customFormat="1" ht="33" customHeight="1">
      <c r="A5" s="164"/>
      <c r="B5" s="164"/>
      <c r="C5" s="161"/>
      <c r="D5" s="158"/>
      <c r="E5" s="159"/>
      <c r="F5" s="159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7023245</v>
      </c>
      <c r="D7" s="16">
        <f>D8+D9+D10+D12+D13+D14+D15+D16+D17+D18+D19+D20+D21+D22+D24+D25+D26+D27</f>
        <v>7023245</v>
      </c>
      <c r="E7" s="13" t="str">
        <f>IF(C7=D7,"-",D7-C7)</f>
        <v>-</v>
      </c>
      <c r="F7" s="86">
        <f>IF(C7=0,"-",D7/C7)</f>
        <v>1</v>
      </c>
      <c r="H7" s="118"/>
    </row>
    <row r="8" spans="1:8" ht="31.5" customHeight="1">
      <c r="A8" s="40" t="s">
        <v>1</v>
      </c>
      <c r="B8" s="100" t="s">
        <v>165</v>
      </c>
      <c r="C8" s="107">
        <v>883211</v>
      </c>
      <c r="D8" s="36">
        <f>C8</f>
        <v>883211</v>
      </c>
      <c r="E8" s="87" t="str">
        <f aca="true" t="shared" si="0" ref="E8:E29">IF(C8=D8,"-",D8-C8)</f>
        <v>-</v>
      </c>
      <c r="F8" s="88">
        <f aca="true" t="shared" si="1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07">
        <v>583111</v>
      </c>
      <c r="D9" s="36">
        <f aca="true" t="shared" si="2" ref="D9:D26">C9</f>
        <v>583111</v>
      </c>
      <c r="E9" s="87" t="str">
        <f t="shared" si="0"/>
        <v>-</v>
      </c>
      <c r="F9" s="88">
        <f t="shared" si="1"/>
        <v>1</v>
      </c>
      <c r="H9" s="118"/>
    </row>
    <row r="10" spans="1:8" ht="31.5" customHeight="1">
      <c r="A10" s="40" t="s">
        <v>3</v>
      </c>
      <c r="B10" s="100" t="s">
        <v>157</v>
      </c>
      <c r="C10" s="107">
        <v>3181906</v>
      </c>
      <c r="D10" s="36">
        <f t="shared" si="2"/>
        <v>3181906</v>
      </c>
      <c r="E10" s="87" t="str">
        <f t="shared" si="0"/>
        <v>-</v>
      </c>
      <c r="F10" s="88">
        <f t="shared" si="1"/>
        <v>1</v>
      </c>
      <c r="H10" s="118"/>
    </row>
    <row r="11" spans="1:8" ht="31.5" customHeight="1">
      <c r="A11" s="101" t="s">
        <v>64</v>
      </c>
      <c r="B11" s="45" t="s">
        <v>65</v>
      </c>
      <c r="C11" s="107">
        <v>183910</v>
      </c>
      <c r="D11" s="36">
        <f t="shared" si="2"/>
        <v>183910</v>
      </c>
      <c r="E11" s="87" t="str">
        <f t="shared" si="0"/>
        <v>-</v>
      </c>
      <c r="F11" s="88">
        <f t="shared" si="1"/>
        <v>1</v>
      </c>
      <c r="H11" s="118"/>
    </row>
    <row r="12" spans="1:8" ht="31.5" customHeight="1">
      <c r="A12" s="40" t="s">
        <v>4</v>
      </c>
      <c r="B12" s="100" t="s">
        <v>172</v>
      </c>
      <c r="C12" s="107">
        <v>246791</v>
      </c>
      <c r="D12" s="36">
        <f t="shared" si="2"/>
        <v>246791</v>
      </c>
      <c r="E12" s="87" t="str">
        <f t="shared" si="0"/>
        <v>-</v>
      </c>
      <c r="F12" s="88">
        <f t="shared" si="1"/>
        <v>1</v>
      </c>
      <c r="H12" s="118"/>
    </row>
    <row r="13" spans="1:8" ht="31.5" customHeight="1">
      <c r="A13" s="40" t="s">
        <v>5</v>
      </c>
      <c r="B13" s="100" t="s">
        <v>167</v>
      </c>
      <c r="C13" s="107">
        <v>204165</v>
      </c>
      <c r="D13" s="36">
        <f t="shared" si="2"/>
        <v>204165</v>
      </c>
      <c r="E13" s="87" t="str">
        <f t="shared" si="0"/>
        <v>-</v>
      </c>
      <c r="F13" s="88">
        <f t="shared" si="1"/>
        <v>1</v>
      </c>
      <c r="H13" s="118"/>
    </row>
    <row r="14" spans="1:8" ht="31.5" customHeight="1">
      <c r="A14" s="40" t="s">
        <v>6</v>
      </c>
      <c r="B14" s="100" t="s">
        <v>176</v>
      </c>
      <c r="C14" s="107">
        <v>177927</v>
      </c>
      <c r="D14" s="36">
        <f t="shared" si="2"/>
        <v>177927</v>
      </c>
      <c r="E14" s="87" t="str">
        <f t="shared" si="0"/>
        <v>-</v>
      </c>
      <c r="F14" s="88">
        <f t="shared" si="1"/>
        <v>1</v>
      </c>
      <c r="H14" s="118"/>
    </row>
    <row r="15" spans="1:8" ht="31.5" customHeight="1">
      <c r="A15" s="40" t="s">
        <v>7</v>
      </c>
      <c r="B15" s="100" t="s">
        <v>175</v>
      </c>
      <c r="C15" s="107">
        <v>34486</v>
      </c>
      <c r="D15" s="36">
        <f t="shared" si="2"/>
        <v>34486</v>
      </c>
      <c r="E15" s="87" t="str">
        <f>IF(C15=D15,"-",D15-C15)</f>
        <v>-</v>
      </c>
      <c r="F15" s="88">
        <f>IF(C15=0,"-",D15/C15)</f>
        <v>1</v>
      </c>
      <c r="H15" s="118"/>
    </row>
    <row r="16" spans="1:8" ht="31.5" customHeight="1">
      <c r="A16" s="40" t="s">
        <v>8</v>
      </c>
      <c r="B16" s="100" t="s">
        <v>168</v>
      </c>
      <c r="C16" s="107">
        <v>190060</v>
      </c>
      <c r="D16" s="36">
        <f t="shared" si="2"/>
        <v>190060</v>
      </c>
      <c r="E16" s="87" t="str">
        <f t="shared" si="0"/>
        <v>-</v>
      </c>
      <c r="F16" s="88">
        <f t="shared" si="1"/>
        <v>1</v>
      </c>
      <c r="H16" s="118"/>
    </row>
    <row r="17" spans="1:8" ht="31.5" customHeight="1">
      <c r="A17" s="40" t="s">
        <v>9</v>
      </c>
      <c r="B17" s="100" t="s">
        <v>169</v>
      </c>
      <c r="C17" s="107">
        <v>70000</v>
      </c>
      <c r="D17" s="36">
        <f t="shared" si="2"/>
        <v>70000</v>
      </c>
      <c r="E17" s="87" t="str">
        <f t="shared" si="0"/>
        <v>-</v>
      </c>
      <c r="F17" s="88">
        <f t="shared" si="1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4061</v>
      </c>
      <c r="D18" s="36">
        <f t="shared" si="2"/>
        <v>4061</v>
      </c>
      <c r="E18" s="87" t="str">
        <f t="shared" si="0"/>
        <v>-</v>
      </c>
      <c r="F18" s="88">
        <f t="shared" si="1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21119</v>
      </c>
      <c r="D19" s="36">
        <f>C19</f>
        <v>21119</v>
      </c>
      <c r="E19" s="87" t="str">
        <f t="shared" si="0"/>
        <v>-</v>
      </c>
      <c r="F19" s="88">
        <f t="shared" si="1"/>
        <v>1</v>
      </c>
      <c r="H19" s="118"/>
    </row>
    <row r="20" spans="1:8" ht="31.5" customHeight="1">
      <c r="A20" s="40" t="s">
        <v>12</v>
      </c>
      <c r="B20" s="100" t="s">
        <v>171</v>
      </c>
      <c r="C20" s="107">
        <v>176346</v>
      </c>
      <c r="D20" s="36">
        <f t="shared" si="2"/>
        <v>176346</v>
      </c>
      <c r="E20" s="87" t="str">
        <f t="shared" si="0"/>
        <v>-</v>
      </c>
      <c r="F20" s="88">
        <f t="shared" si="1"/>
        <v>1</v>
      </c>
      <c r="H20" s="118"/>
    </row>
    <row r="21" spans="1:8" ht="31.5" customHeight="1">
      <c r="A21" s="40" t="s">
        <v>14</v>
      </c>
      <c r="B21" s="46" t="s">
        <v>13</v>
      </c>
      <c r="C21" s="107">
        <v>81110</v>
      </c>
      <c r="D21" s="36">
        <f t="shared" si="2"/>
        <v>81110</v>
      </c>
      <c r="E21" s="87" t="str">
        <f t="shared" si="0"/>
        <v>-</v>
      </c>
      <c r="F21" s="88">
        <f t="shared" si="1"/>
        <v>1</v>
      </c>
      <c r="H21" s="118"/>
    </row>
    <row r="22" spans="1:8" ht="31.5" customHeight="1">
      <c r="A22" s="41" t="s">
        <v>15</v>
      </c>
      <c r="B22" s="100" t="s">
        <v>173</v>
      </c>
      <c r="C22" s="107">
        <v>1057638</v>
      </c>
      <c r="D22" s="36">
        <f t="shared" si="2"/>
        <v>1057638</v>
      </c>
      <c r="E22" s="87" t="str">
        <f t="shared" si="0"/>
        <v>-</v>
      </c>
      <c r="F22" s="88">
        <f t="shared" si="1"/>
        <v>1</v>
      </c>
      <c r="H22" s="118"/>
    </row>
    <row r="23" spans="1:8" ht="31.5" customHeight="1">
      <c r="A23" s="39" t="s">
        <v>178</v>
      </c>
      <c r="B23" s="45" t="s">
        <v>66</v>
      </c>
      <c r="C23" s="107">
        <v>1946</v>
      </c>
      <c r="D23" s="36">
        <f t="shared" si="2"/>
        <v>1946</v>
      </c>
      <c r="E23" s="87" t="str">
        <f t="shared" si="0"/>
        <v>-</v>
      </c>
      <c r="F23" s="88">
        <f t="shared" si="1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 t="shared" si="2"/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 t="shared" si="2"/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 t="shared" si="2"/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111314</v>
      </c>
      <c r="D27" s="36">
        <f>C27</f>
        <v>111314</v>
      </c>
      <c r="E27" s="87" t="str">
        <f>IF(C27=D27,"-",D27-C27)</f>
        <v>-</v>
      </c>
      <c r="F27" s="88">
        <f>IF(C27=0,"-",D27/C27)</f>
        <v>1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>C28</f>
        <v>0</v>
      </c>
      <c r="E28" s="15" t="str">
        <f t="shared" si="0"/>
        <v>-</v>
      </c>
      <c r="F28" s="116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187586</v>
      </c>
      <c r="D29" s="115">
        <v>187586</v>
      </c>
      <c r="E29" s="15" t="str">
        <f t="shared" si="0"/>
        <v>-</v>
      </c>
      <c r="F29" s="116">
        <f t="shared" si="1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58168</v>
      </c>
      <c r="D30" s="34">
        <f>D31+D32+D33+D41+D42+D48+D49+D50+D47</f>
        <v>58168</v>
      </c>
      <c r="E30" s="13" t="str">
        <f>IF(C30=D30,"-",D30-C30)</f>
        <v>-</v>
      </c>
      <c r="F30" s="89">
        <f t="shared" si="1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2073</v>
      </c>
      <c r="D31" s="35">
        <f>C31</f>
        <v>2073</v>
      </c>
      <c r="E31" s="87" t="str">
        <f aca="true" t="shared" si="3" ref="E31:E51">IF(C31=D31,"-",D31-C31)</f>
        <v>-</v>
      </c>
      <c r="F31" s="88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6734</v>
      </c>
      <c r="D32" s="35">
        <f>C32</f>
        <v>6734</v>
      </c>
      <c r="E32" s="87" t="str">
        <f t="shared" si="3"/>
        <v>-</v>
      </c>
      <c r="F32" s="88">
        <f t="shared" si="1"/>
        <v>1</v>
      </c>
      <c r="H32" s="118"/>
    </row>
    <row r="33" spans="1:8" ht="28.5" customHeight="1">
      <c r="A33" s="42" t="s">
        <v>23</v>
      </c>
      <c r="B33" s="51" t="s">
        <v>37</v>
      </c>
      <c r="C33" s="35">
        <v>601</v>
      </c>
      <c r="D33" s="35">
        <f>D34+D36+D37+D38+D39+D40</f>
        <v>601</v>
      </c>
      <c r="E33" s="87" t="str">
        <f t="shared" si="3"/>
        <v>-</v>
      </c>
      <c r="F33" s="88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67</v>
      </c>
      <c r="D34" s="35">
        <f>C34</f>
        <v>67</v>
      </c>
      <c r="E34" s="87" t="str">
        <f t="shared" si="3"/>
        <v>-</v>
      </c>
      <c r="F34" s="88">
        <f t="shared" si="1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67</v>
      </c>
      <c r="D35" s="35">
        <f aca="true" t="shared" si="4" ref="D35:D48">C35</f>
        <v>67</v>
      </c>
      <c r="E35" s="87" t="str">
        <f t="shared" si="3"/>
        <v>-</v>
      </c>
      <c r="F35" s="88">
        <f t="shared" si="1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0</v>
      </c>
      <c r="D36" s="35">
        <f t="shared" si="4"/>
        <v>0</v>
      </c>
      <c r="E36" s="87" t="str">
        <f t="shared" si="3"/>
        <v>-</v>
      </c>
      <c r="F36" s="88" t="str">
        <f t="shared" si="1"/>
        <v>-</v>
      </c>
      <c r="H36" s="118"/>
    </row>
    <row r="37" spans="1:8" ht="28.5" customHeight="1">
      <c r="A37" s="53" t="s">
        <v>48</v>
      </c>
      <c r="B37" s="54" t="s">
        <v>41</v>
      </c>
      <c r="C37" s="92">
        <v>11</v>
      </c>
      <c r="D37" s="35">
        <f t="shared" si="4"/>
        <v>11</v>
      </c>
      <c r="E37" s="87" t="str">
        <f t="shared" si="3"/>
        <v>-</v>
      </c>
      <c r="F37" s="88">
        <f t="shared" si="1"/>
        <v>1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4"/>
        <v>0</v>
      </c>
      <c r="E38" s="87" t="str">
        <f t="shared" si="3"/>
        <v>-</v>
      </c>
      <c r="F38" s="88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506</v>
      </c>
      <c r="D39" s="35">
        <f t="shared" si="4"/>
        <v>506</v>
      </c>
      <c r="E39" s="87" t="str">
        <f t="shared" si="3"/>
        <v>-</v>
      </c>
      <c r="F39" s="88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17</v>
      </c>
      <c r="D40" s="35">
        <f t="shared" si="4"/>
        <v>17</v>
      </c>
      <c r="E40" s="87" t="str">
        <f t="shared" si="3"/>
        <v>-</v>
      </c>
      <c r="F40" s="88">
        <f t="shared" si="1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35546</v>
      </c>
      <c r="D41" s="35">
        <f t="shared" si="4"/>
        <v>35546</v>
      </c>
      <c r="E41" s="87" t="str">
        <f t="shared" si="3"/>
        <v>-</v>
      </c>
      <c r="F41" s="88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v>7166</v>
      </c>
      <c r="D42" s="35">
        <f>SUM(D43:D46)</f>
        <v>7166</v>
      </c>
      <c r="E42" s="87" t="str">
        <f t="shared" si="3"/>
        <v>-</v>
      </c>
      <c r="F42" s="88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5399</v>
      </c>
      <c r="D43" s="35">
        <f>C43</f>
        <v>5399</v>
      </c>
      <c r="E43" s="87" t="str">
        <f t="shared" si="3"/>
        <v>-</v>
      </c>
      <c r="F43" s="88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871</v>
      </c>
      <c r="D44" s="35">
        <f>C44</f>
        <v>871</v>
      </c>
      <c r="E44" s="87" t="str">
        <f t="shared" si="3"/>
        <v>-</v>
      </c>
      <c r="F44" s="88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7" t="str">
        <f t="shared" si="3"/>
        <v>-</v>
      </c>
      <c r="F45" s="88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896</v>
      </c>
      <c r="D46" s="35">
        <f>C46</f>
        <v>896</v>
      </c>
      <c r="E46" s="87" t="str">
        <f t="shared" si="3"/>
        <v>-</v>
      </c>
      <c r="F46" s="88">
        <f t="shared" si="1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4"/>
        <v>0</v>
      </c>
      <c r="E47" s="87" t="str">
        <f t="shared" si="3"/>
        <v>-</v>
      </c>
      <c r="F47" s="88" t="str">
        <f aca="true" t="shared" si="5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5381</v>
      </c>
      <c r="D48" s="35">
        <f t="shared" si="4"/>
        <v>5381</v>
      </c>
      <c r="E48" s="87" t="str">
        <f t="shared" si="3"/>
        <v>-</v>
      </c>
      <c r="F48" s="90">
        <f t="shared" si="5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197</v>
      </c>
      <c r="D49" s="35">
        <f>C49</f>
        <v>197</v>
      </c>
      <c r="E49" s="87" t="str">
        <f t="shared" si="3"/>
        <v>-</v>
      </c>
      <c r="F49" s="90">
        <f t="shared" si="5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470</v>
      </c>
      <c r="D50" s="35">
        <f>C50</f>
        <v>470</v>
      </c>
      <c r="E50" s="87" t="str">
        <f t="shared" si="3"/>
        <v>-</v>
      </c>
      <c r="F50" s="88">
        <f t="shared" si="5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13690</v>
      </c>
      <c r="D51" s="38">
        <f>SUM(D52:D55)</f>
        <v>11040</v>
      </c>
      <c r="E51" s="13">
        <f t="shared" si="3"/>
        <v>-2650</v>
      </c>
      <c r="F51" s="91">
        <f t="shared" si="5"/>
        <v>0.8064</v>
      </c>
      <c r="H51" s="118"/>
    </row>
    <row r="52" spans="1:8" ht="42" customHeight="1">
      <c r="A52" s="42" t="s">
        <v>119</v>
      </c>
      <c r="B52" s="51" t="s">
        <v>144</v>
      </c>
      <c r="C52" s="92">
        <v>640</v>
      </c>
      <c r="D52" s="35">
        <f>C52-218</f>
        <v>422</v>
      </c>
      <c r="E52" s="92">
        <f>IF(C52=D52,"-",D52-C52)</f>
        <v>-218</v>
      </c>
      <c r="F52" s="98">
        <f t="shared" si="5"/>
        <v>0.6594</v>
      </c>
      <c r="H52" s="118"/>
    </row>
    <row r="53" spans="1:8" ht="31.5" customHeight="1">
      <c r="A53" s="42" t="s">
        <v>35</v>
      </c>
      <c r="B53" s="51" t="s">
        <v>63</v>
      </c>
      <c r="C53" s="92">
        <v>10150</v>
      </c>
      <c r="D53" s="35">
        <f>C53-2432</f>
        <v>7718</v>
      </c>
      <c r="E53" s="92">
        <f>IF(C53=D53,"-",D53-C53)</f>
        <v>-2432</v>
      </c>
      <c r="F53" s="98">
        <f t="shared" si="5"/>
        <v>0.7604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5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2900</v>
      </c>
      <c r="D55" s="35">
        <f>C55</f>
        <v>2900</v>
      </c>
      <c r="E55" s="92" t="str">
        <f>IF(C55=D55,"-",D55-C55)</f>
        <v>-</v>
      </c>
      <c r="F55" s="98">
        <f t="shared" si="5"/>
        <v>1</v>
      </c>
      <c r="H55" s="118"/>
    </row>
    <row r="56" spans="1:8" ht="32.25" customHeight="1">
      <c r="A56" s="44" t="s">
        <v>127</v>
      </c>
      <c r="B56" s="56" t="s">
        <v>154</v>
      </c>
      <c r="C56" s="109">
        <v>2989</v>
      </c>
      <c r="D56" s="38">
        <f>C56</f>
        <v>2989</v>
      </c>
      <c r="E56" s="13" t="str">
        <f>IF(C56=D56,"-",D56-C56)</f>
        <v>-</v>
      </c>
      <c r="F56" s="91">
        <f>IF(C56=0,"-",D56/C56)</f>
        <v>1</v>
      </c>
      <c r="H56" s="118"/>
    </row>
    <row r="72" ht="54" customHeight="1"/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74"/>
  <sheetViews>
    <sheetView showGridLines="0" zoomScale="55" zoomScaleNormal="55" zoomScaleSheetLayoutView="55" zoomScalePageLayoutView="0" workbookViewId="0" topLeftCell="A1">
      <pane ySplit="7" topLeftCell="A8" activePane="bottomLeft" state="frozen"/>
      <selection pane="topLeft" activeCell="A1" sqref="A1:F1"/>
      <selection pane="bottomLeft" activeCell="A1" sqref="A1:F1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8" width="9.125" style="2" customWidth="1"/>
    <col min="9" max="16384" width="9.125" style="2" customWidth="1"/>
  </cols>
  <sheetData>
    <row r="1" spans="1:6" s="59" customFormat="1" ht="30" customHeight="1">
      <c r="A1" s="162" t="str">
        <f>NFZ!A1</f>
        <v>ZMIANA PLANU FINANSOWEGO NARODOWEGO FUNDUSZU ZDROWIA NA 2010 ROK Z 16 GRUDNIA 2010 R.</v>
      </c>
      <c r="B1" s="162"/>
      <c r="C1" s="162"/>
      <c r="D1" s="162"/>
      <c r="E1" s="162"/>
      <c r="F1" s="162"/>
    </row>
    <row r="2" spans="1:3" s="60" customFormat="1" ht="30.75" customHeight="1">
      <c r="A2" s="163" t="s">
        <v>83</v>
      </c>
      <c r="B2" s="163"/>
      <c r="C2" s="163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65" t="s">
        <v>164</v>
      </c>
      <c r="B4" s="164" t="s">
        <v>62</v>
      </c>
      <c r="C4" s="160" t="s">
        <v>201</v>
      </c>
      <c r="D4" s="157" t="s">
        <v>158</v>
      </c>
      <c r="E4" s="159" t="s">
        <v>163</v>
      </c>
      <c r="F4" s="159" t="s">
        <v>162</v>
      </c>
    </row>
    <row r="5" spans="1:6" s="6" customFormat="1" ht="33" customHeight="1">
      <c r="A5" s="164"/>
      <c r="B5" s="164"/>
      <c r="C5" s="161"/>
      <c r="D5" s="158"/>
      <c r="E5" s="159"/>
      <c r="F5" s="159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1828698</v>
      </c>
      <c r="D7" s="16">
        <f>D8+D9+D10+D12+D13+D14+D15+D16+D17+D18+D19+D20+D21+D22+D24+D25+D26+D27</f>
        <v>1828698</v>
      </c>
      <c r="E7" s="13" t="str">
        <f>IF(C7=D7,"-",D7-C7)</f>
        <v>-</v>
      </c>
      <c r="F7" s="86">
        <f>IF(C7=0,"-",D7/C7)</f>
        <v>1</v>
      </c>
      <c r="H7" s="118"/>
    </row>
    <row r="8" spans="1:8" ht="31.5" customHeight="1">
      <c r="A8" s="40" t="s">
        <v>1</v>
      </c>
      <c r="B8" s="100" t="s">
        <v>165</v>
      </c>
      <c r="C8" s="107">
        <v>243300</v>
      </c>
      <c r="D8" s="36">
        <f aca="true" t="shared" si="0" ref="D8:D18">C8</f>
        <v>243300</v>
      </c>
      <c r="E8" s="87" t="str">
        <f aca="true" t="shared" si="1" ref="E8:E29">IF(C8=D8,"-",D8-C8)</f>
        <v>-</v>
      </c>
      <c r="F8" s="88">
        <f aca="true" t="shared" si="2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07">
        <v>109054</v>
      </c>
      <c r="D9" s="36">
        <f t="shared" si="0"/>
        <v>109054</v>
      </c>
      <c r="E9" s="87" t="str">
        <f t="shared" si="1"/>
        <v>-</v>
      </c>
      <c r="F9" s="88">
        <f t="shared" si="2"/>
        <v>1</v>
      </c>
      <c r="H9" s="118"/>
    </row>
    <row r="10" spans="1:8" ht="31.5" customHeight="1">
      <c r="A10" s="40" t="s">
        <v>3</v>
      </c>
      <c r="B10" s="100" t="s">
        <v>157</v>
      </c>
      <c r="C10" s="107">
        <v>872839</v>
      </c>
      <c r="D10" s="36">
        <f>C10</f>
        <v>872839</v>
      </c>
      <c r="E10" s="87" t="str">
        <f t="shared" si="1"/>
        <v>-</v>
      </c>
      <c r="F10" s="88">
        <f t="shared" si="2"/>
        <v>1</v>
      </c>
      <c r="H10" s="118"/>
    </row>
    <row r="11" spans="1:8" ht="31.5" customHeight="1">
      <c r="A11" s="101" t="s">
        <v>64</v>
      </c>
      <c r="B11" s="45" t="s">
        <v>65</v>
      </c>
      <c r="C11" s="107">
        <v>49176</v>
      </c>
      <c r="D11" s="36">
        <f>C11</f>
        <v>49176</v>
      </c>
      <c r="E11" s="87" t="str">
        <f t="shared" si="1"/>
        <v>-</v>
      </c>
      <c r="F11" s="88">
        <f t="shared" si="2"/>
        <v>1</v>
      </c>
      <c r="H11" s="118"/>
    </row>
    <row r="12" spans="1:8" ht="31.5" customHeight="1">
      <c r="A12" s="40" t="s">
        <v>4</v>
      </c>
      <c r="B12" s="100" t="s">
        <v>172</v>
      </c>
      <c r="C12" s="107">
        <v>58402</v>
      </c>
      <c r="D12" s="36">
        <f t="shared" si="0"/>
        <v>58402</v>
      </c>
      <c r="E12" s="87" t="str">
        <f t="shared" si="1"/>
        <v>-</v>
      </c>
      <c r="F12" s="88">
        <f t="shared" si="2"/>
        <v>1</v>
      </c>
      <c r="H12" s="118"/>
    </row>
    <row r="13" spans="1:8" ht="31.5" customHeight="1">
      <c r="A13" s="40" t="s">
        <v>5</v>
      </c>
      <c r="B13" s="100" t="s">
        <v>167</v>
      </c>
      <c r="C13" s="107">
        <v>57501</v>
      </c>
      <c r="D13" s="36">
        <f t="shared" si="0"/>
        <v>57501</v>
      </c>
      <c r="E13" s="87" t="str">
        <f t="shared" si="1"/>
        <v>-</v>
      </c>
      <c r="F13" s="88">
        <f t="shared" si="2"/>
        <v>1</v>
      </c>
      <c r="H13" s="118"/>
    </row>
    <row r="14" spans="1:8" ht="31.5" customHeight="1">
      <c r="A14" s="40" t="s">
        <v>6</v>
      </c>
      <c r="B14" s="100" t="s">
        <v>176</v>
      </c>
      <c r="C14" s="107">
        <v>26246</v>
      </c>
      <c r="D14" s="36">
        <f t="shared" si="0"/>
        <v>26246</v>
      </c>
      <c r="E14" s="87" t="str">
        <f t="shared" si="1"/>
        <v>-</v>
      </c>
      <c r="F14" s="88">
        <f t="shared" si="2"/>
        <v>1</v>
      </c>
      <c r="H14" s="118"/>
    </row>
    <row r="15" spans="1:8" ht="31.5" customHeight="1">
      <c r="A15" s="40" t="s">
        <v>7</v>
      </c>
      <c r="B15" s="100" t="s">
        <v>175</v>
      </c>
      <c r="C15" s="107">
        <v>8105</v>
      </c>
      <c r="D15" s="36">
        <f t="shared" si="0"/>
        <v>8105</v>
      </c>
      <c r="E15" s="87" t="str">
        <f>IF(C15=D15,"-",D15-C15)</f>
        <v>-</v>
      </c>
      <c r="F15" s="88">
        <f>IF(C15=0,"-",D15/C15)</f>
        <v>1</v>
      </c>
      <c r="H15" s="118"/>
    </row>
    <row r="16" spans="1:8" ht="31.5" customHeight="1">
      <c r="A16" s="40" t="s">
        <v>8</v>
      </c>
      <c r="B16" s="100" t="s">
        <v>168</v>
      </c>
      <c r="C16" s="107">
        <v>55254</v>
      </c>
      <c r="D16" s="36">
        <f t="shared" si="0"/>
        <v>55254</v>
      </c>
      <c r="E16" s="87" t="str">
        <f t="shared" si="1"/>
        <v>-</v>
      </c>
      <c r="F16" s="88">
        <f t="shared" si="2"/>
        <v>1</v>
      </c>
      <c r="H16" s="118"/>
    </row>
    <row r="17" spans="1:8" ht="31.5" customHeight="1">
      <c r="A17" s="40" t="s">
        <v>9</v>
      </c>
      <c r="B17" s="100" t="s">
        <v>169</v>
      </c>
      <c r="C17" s="107">
        <v>23000</v>
      </c>
      <c r="D17" s="36">
        <f t="shared" si="0"/>
        <v>23000</v>
      </c>
      <c r="E17" s="87" t="str">
        <f t="shared" si="1"/>
        <v>-</v>
      </c>
      <c r="F17" s="88">
        <f t="shared" si="2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1300</v>
      </c>
      <c r="D18" s="36">
        <f t="shared" si="0"/>
        <v>1300</v>
      </c>
      <c r="E18" s="87" t="str">
        <f t="shared" si="1"/>
        <v>-</v>
      </c>
      <c r="F18" s="88">
        <f t="shared" si="2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3939</v>
      </c>
      <c r="D19" s="36">
        <f>C19</f>
        <v>3939</v>
      </c>
      <c r="E19" s="87" t="str">
        <f t="shared" si="1"/>
        <v>-</v>
      </c>
      <c r="F19" s="88">
        <f t="shared" si="2"/>
        <v>1</v>
      </c>
      <c r="H19" s="118"/>
    </row>
    <row r="20" spans="1:8" ht="31.5" customHeight="1">
      <c r="A20" s="40" t="s">
        <v>12</v>
      </c>
      <c r="B20" s="100" t="s">
        <v>171</v>
      </c>
      <c r="C20" s="107">
        <v>43050</v>
      </c>
      <c r="D20" s="36">
        <f>C20</f>
        <v>43050</v>
      </c>
      <c r="E20" s="87" t="str">
        <f t="shared" si="1"/>
        <v>-</v>
      </c>
      <c r="F20" s="88">
        <f t="shared" si="2"/>
        <v>1</v>
      </c>
      <c r="H20" s="118"/>
    </row>
    <row r="21" spans="1:8" ht="31.5" customHeight="1">
      <c r="A21" s="40" t="s">
        <v>14</v>
      </c>
      <c r="B21" s="46" t="s">
        <v>13</v>
      </c>
      <c r="C21" s="107">
        <v>19900</v>
      </c>
      <c r="D21" s="36">
        <f aca="true" t="shared" si="3" ref="D21:D26">C21</f>
        <v>19900</v>
      </c>
      <c r="E21" s="87" t="str">
        <f t="shared" si="1"/>
        <v>-</v>
      </c>
      <c r="F21" s="88">
        <f t="shared" si="2"/>
        <v>1</v>
      </c>
      <c r="H21" s="118"/>
    </row>
    <row r="22" spans="1:8" ht="31.5" customHeight="1">
      <c r="A22" s="41" t="s">
        <v>15</v>
      </c>
      <c r="B22" s="100" t="s">
        <v>173</v>
      </c>
      <c r="C22" s="107">
        <v>281559</v>
      </c>
      <c r="D22" s="36">
        <f t="shared" si="3"/>
        <v>281559</v>
      </c>
      <c r="E22" s="87" t="str">
        <f t="shared" si="1"/>
        <v>-</v>
      </c>
      <c r="F22" s="88">
        <f t="shared" si="2"/>
        <v>1</v>
      </c>
      <c r="H22" s="118"/>
    </row>
    <row r="23" spans="1:8" ht="31.5" customHeight="1">
      <c r="A23" s="39" t="s">
        <v>178</v>
      </c>
      <c r="B23" s="45" t="s">
        <v>66</v>
      </c>
      <c r="C23" s="107">
        <v>580</v>
      </c>
      <c r="D23" s="36">
        <f t="shared" si="3"/>
        <v>580</v>
      </c>
      <c r="E23" s="87" t="str">
        <f t="shared" si="1"/>
        <v>-</v>
      </c>
      <c r="F23" s="88">
        <f t="shared" si="2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 t="shared" si="3"/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 t="shared" si="3"/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 t="shared" si="3"/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25249</v>
      </c>
      <c r="D27" s="36">
        <f>C27</f>
        <v>25249</v>
      </c>
      <c r="E27" s="87" t="str">
        <f>IF(C27=D27,"-",D27-C27)</f>
        <v>-</v>
      </c>
      <c r="F27" s="88">
        <f>IF(C27=0,"-",D27/C27)</f>
        <v>1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>C28</f>
        <v>0</v>
      </c>
      <c r="E28" s="15" t="str">
        <f t="shared" si="1"/>
        <v>-</v>
      </c>
      <c r="F28" s="116" t="str">
        <f t="shared" si="2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53126</v>
      </c>
      <c r="D29" s="115">
        <v>53126</v>
      </c>
      <c r="E29" s="15" t="str">
        <f t="shared" si="1"/>
        <v>-</v>
      </c>
      <c r="F29" s="116">
        <f t="shared" si="2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16053</v>
      </c>
      <c r="D30" s="34">
        <f>D31+D32+D33+D41+D42+D48+D49+D50+D47</f>
        <v>16053</v>
      </c>
      <c r="E30" s="13" t="str">
        <f>IF(C30=D30,"-",D30-C30)</f>
        <v>-</v>
      </c>
      <c r="F30" s="89">
        <f t="shared" si="2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691</v>
      </c>
      <c r="D31" s="35">
        <f>C31</f>
        <v>691</v>
      </c>
      <c r="E31" s="87" t="str">
        <f aca="true" t="shared" si="4" ref="E31:E51">IF(C31=D31,"-",D31-C31)</f>
        <v>-</v>
      </c>
      <c r="F31" s="88">
        <f t="shared" si="2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1279</v>
      </c>
      <c r="D32" s="35">
        <f>C32</f>
        <v>1279</v>
      </c>
      <c r="E32" s="87" t="str">
        <f t="shared" si="4"/>
        <v>-</v>
      </c>
      <c r="F32" s="88">
        <f t="shared" si="2"/>
        <v>1</v>
      </c>
      <c r="H32" s="118"/>
    </row>
    <row r="33" spans="1:8" ht="28.5" customHeight="1">
      <c r="A33" s="42" t="s">
        <v>23</v>
      </c>
      <c r="B33" s="51" t="s">
        <v>37</v>
      </c>
      <c r="C33" s="35">
        <v>49</v>
      </c>
      <c r="D33" s="35">
        <f>D34+D36+D37+D38+D39+D40</f>
        <v>49</v>
      </c>
      <c r="E33" s="87" t="str">
        <f t="shared" si="4"/>
        <v>-</v>
      </c>
      <c r="F33" s="88">
        <f t="shared" si="2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3</v>
      </c>
      <c r="D34" s="35">
        <f>C34</f>
        <v>3</v>
      </c>
      <c r="E34" s="87" t="str">
        <f t="shared" si="4"/>
        <v>-</v>
      </c>
      <c r="F34" s="88">
        <f t="shared" si="2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3</v>
      </c>
      <c r="D35" s="35">
        <f aca="true" t="shared" si="5" ref="D35:D47">C35</f>
        <v>3</v>
      </c>
      <c r="E35" s="87" t="str">
        <f t="shared" si="4"/>
        <v>-</v>
      </c>
      <c r="F35" s="88">
        <f t="shared" si="2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3</v>
      </c>
      <c r="D36" s="35">
        <f t="shared" si="5"/>
        <v>3</v>
      </c>
      <c r="E36" s="87" t="str">
        <f t="shared" si="4"/>
        <v>-</v>
      </c>
      <c r="F36" s="88">
        <f t="shared" si="2"/>
        <v>1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5"/>
        <v>0</v>
      </c>
      <c r="E37" s="87" t="str">
        <f t="shared" si="4"/>
        <v>-</v>
      </c>
      <c r="F37" s="88" t="str">
        <f t="shared" si="2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5"/>
        <v>0</v>
      </c>
      <c r="E38" s="87" t="str">
        <f t="shared" si="4"/>
        <v>-</v>
      </c>
      <c r="F38" s="88" t="str">
        <f t="shared" si="2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43</v>
      </c>
      <c r="D39" s="35">
        <f t="shared" si="5"/>
        <v>43</v>
      </c>
      <c r="E39" s="87" t="str">
        <f t="shared" si="4"/>
        <v>-</v>
      </c>
      <c r="F39" s="88">
        <f t="shared" si="2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0</v>
      </c>
      <c r="D40" s="35">
        <f t="shared" si="5"/>
        <v>0</v>
      </c>
      <c r="E40" s="87" t="str">
        <f t="shared" si="4"/>
        <v>-</v>
      </c>
      <c r="F40" s="88" t="str">
        <f t="shared" si="2"/>
        <v>-</v>
      </c>
      <c r="H40" s="118"/>
    </row>
    <row r="41" spans="1:8" ht="28.5" customHeight="1">
      <c r="A41" s="42" t="s">
        <v>24</v>
      </c>
      <c r="B41" s="51" t="s">
        <v>25</v>
      </c>
      <c r="C41" s="35">
        <v>9966</v>
      </c>
      <c r="D41" s="35">
        <f t="shared" si="5"/>
        <v>9966</v>
      </c>
      <c r="E41" s="87" t="str">
        <f t="shared" si="4"/>
        <v>-</v>
      </c>
      <c r="F41" s="88">
        <f t="shared" si="2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v>2014</v>
      </c>
      <c r="D42" s="35">
        <f>SUM(D43:D46)</f>
        <v>2014</v>
      </c>
      <c r="E42" s="87" t="str">
        <f t="shared" si="4"/>
        <v>-</v>
      </c>
      <c r="F42" s="88">
        <f t="shared" si="2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1514</v>
      </c>
      <c r="D43" s="35">
        <f>C43</f>
        <v>1514</v>
      </c>
      <c r="E43" s="87" t="str">
        <f t="shared" si="4"/>
        <v>-</v>
      </c>
      <c r="F43" s="88">
        <f t="shared" si="2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244</v>
      </c>
      <c r="D44" s="35">
        <f>C44</f>
        <v>244</v>
      </c>
      <c r="E44" s="87" t="str">
        <f t="shared" si="4"/>
        <v>-</v>
      </c>
      <c r="F44" s="88">
        <f t="shared" si="2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7" t="str">
        <f t="shared" si="4"/>
        <v>-</v>
      </c>
      <c r="F45" s="88" t="str">
        <f t="shared" si="2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256</v>
      </c>
      <c r="D46" s="35">
        <f>C46</f>
        <v>256</v>
      </c>
      <c r="E46" s="87" t="str">
        <f t="shared" si="4"/>
        <v>-</v>
      </c>
      <c r="F46" s="88">
        <f t="shared" si="2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5"/>
        <v>0</v>
      </c>
      <c r="E47" s="87" t="str">
        <f t="shared" si="4"/>
        <v>-</v>
      </c>
      <c r="F47" s="88" t="str">
        <f aca="true" t="shared" si="6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1659</v>
      </c>
      <c r="D48" s="35">
        <f>C48</f>
        <v>1659</v>
      </c>
      <c r="E48" s="87" t="str">
        <f t="shared" si="4"/>
        <v>-</v>
      </c>
      <c r="F48" s="90">
        <f t="shared" si="6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150</v>
      </c>
      <c r="D49" s="35">
        <f>C49</f>
        <v>150</v>
      </c>
      <c r="E49" s="87" t="str">
        <f t="shared" si="4"/>
        <v>-</v>
      </c>
      <c r="F49" s="90">
        <f t="shared" si="6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245</v>
      </c>
      <c r="D50" s="35">
        <f>C50</f>
        <v>245</v>
      </c>
      <c r="E50" s="87" t="str">
        <f t="shared" si="4"/>
        <v>-</v>
      </c>
      <c r="F50" s="88">
        <f t="shared" si="6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18113</v>
      </c>
      <c r="D51" s="38">
        <f>SUM(D52:D55)</f>
        <v>19265</v>
      </c>
      <c r="E51" s="13">
        <f t="shared" si="4"/>
        <v>1152</v>
      </c>
      <c r="F51" s="91">
        <f t="shared" si="6"/>
        <v>1.0636</v>
      </c>
      <c r="H51" s="118"/>
    </row>
    <row r="52" spans="1:8" ht="42" customHeight="1">
      <c r="A52" s="42" t="s">
        <v>119</v>
      </c>
      <c r="B52" s="51" t="s">
        <v>144</v>
      </c>
      <c r="C52" s="92">
        <v>15</v>
      </c>
      <c r="D52" s="35">
        <f>C52</f>
        <v>15</v>
      </c>
      <c r="E52" s="92" t="str">
        <f>IF(C52=D52,"-",D52-C52)</f>
        <v>-</v>
      </c>
      <c r="F52" s="98">
        <f t="shared" si="6"/>
        <v>1</v>
      </c>
      <c r="H52" s="118"/>
    </row>
    <row r="53" spans="1:8" ht="31.5" customHeight="1">
      <c r="A53" s="42" t="s">
        <v>35</v>
      </c>
      <c r="B53" s="51" t="s">
        <v>63</v>
      </c>
      <c r="C53" s="92">
        <v>17498</v>
      </c>
      <c r="D53" s="35">
        <f>C53+1002</f>
        <v>18500</v>
      </c>
      <c r="E53" s="92">
        <f>IF(C53=D53,"-",D53-C53)</f>
        <v>1002</v>
      </c>
      <c r="F53" s="98">
        <f t="shared" si="6"/>
        <v>1.0573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6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600</v>
      </c>
      <c r="D55" s="35">
        <f>C55+150</f>
        <v>750</v>
      </c>
      <c r="E55" s="92">
        <f>IF(C55=D55,"-",D55-C55)</f>
        <v>150</v>
      </c>
      <c r="F55" s="98">
        <f t="shared" si="6"/>
        <v>1.25</v>
      </c>
      <c r="H55" s="118"/>
    </row>
    <row r="56" spans="1:8" ht="32.25" customHeight="1">
      <c r="A56" s="44" t="s">
        <v>127</v>
      </c>
      <c r="B56" s="56" t="s">
        <v>154</v>
      </c>
      <c r="C56" s="109">
        <v>4100</v>
      </c>
      <c r="D56" s="38">
        <f>C56</f>
        <v>4100</v>
      </c>
      <c r="E56" s="13" t="str">
        <f>IF(C56=D56,"-",D56-C56)</f>
        <v>-</v>
      </c>
      <c r="F56" s="91">
        <f>IF(C56=0,"-",D56/C56)</f>
        <v>1</v>
      </c>
      <c r="H56" s="118"/>
    </row>
    <row r="72" ht="54" customHeight="1"/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74"/>
  <sheetViews>
    <sheetView showGridLines="0" zoomScale="55" zoomScaleNormal="55" zoomScaleSheetLayoutView="55" zoomScalePageLayoutView="0" workbookViewId="0" topLeftCell="A1">
      <pane xSplit="2" ySplit="7" topLeftCell="C3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5.125" style="2" bestFit="1" customWidth="1"/>
    <col min="7" max="8" width="9.125" style="2" customWidth="1"/>
    <col min="9" max="16384" width="9.125" style="2" customWidth="1"/>
  </cols>
  <sheetData>
    <row r="1" spans="1:6" s="59" customFormat="1" ht="30" customHeight="1">
      <c r="A1" s="162" t="str">
        <f>NFZ!A1</f>
        <v>ZMIANA PLANU FINANSOWEGO NARODOWEGO FUNDUSZU ZDROWIA NA 2010 ROK Z 16 GRUDNIA 2010 R.</v>
      </c>
      <c r="B1" s="162"/>
      <c r="C1" s="162"/>
      <c r="D1" s="162"/>
      <c r="E1" s="162"/>
      <c r="F1" s="162"/>
    </row>
    <row r="2" spans="1:3" s="60" customFormat="1" ht="30.75" customHeight="1">
      <c r="A2" s="163" t="s">
        <v>84</v>
      </c>
      <c r="B2" s="163"/>
      <c r="C2" s="163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65" t="s">
        <v>164</v>
      </c>
      <c r="B4" s="164" t="s">
        <v>62</v>
      </c>
      <c r="C4" s="160" t="s">
        <v>201</v>
      </c>
      <c r="D4" s="157" t="s">
        <v>158</v>
      </c>
      <c r="E4" s="159" t="s">
        <v>163</v>
      </c>
      <c r="F4" s="159" t="s">
        <v>162</v>
      </c>
    </row>
    <row r="5" spans="1:6" s="6" customFormat="1" ht="33" customHeight="1">
      <c r="A5" s="164"/>
      <c r="B5" s="164"/>
      <c r="C5" s="161"/>
      <c r="D5" s="158"/>
      <c r="E5" s="159"/>
      <c r="F5" s="159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1946739</v>
      </c>
      <c r="D7" s="16">
        <f>D8+D9+D10+D12+D13+D14+D15+D16+D17+D18+D19+D20+D21+D22+D24+D25+D26+D27</f>
        <v>1946739</v>
      </c>
      <c r="E7" s="13" t="str">
        <f>IF(C7=D7,"-",D7-C7)</f>
        <v>-</v>
      </c>
      <c r="F7" s="86">
        <f>IF(C7=0,"-",D7/C7)</f>
        <v>1</v>
      </c>
      <c r="H7" s="118"/>
    </row>
    <row r="8" spans="1:8" ht="31.5" customHeight="1">
      <c r="A8" s="40" t="s">
        <v>1</v>
      </c>
      <c r="B8" s="100" t="s">
        <v>165</v>
      </c>
      <c r="C8" s="107">
        <v>265550</v>
      </c>
      <c r="D8" s="36">
        <f>C8</f>
        <v>265550</v>
      </c>
      <c r="E8" s="87" t="str">
        <f aca="true" t="shared" si="0" ref="E8:E29">IF(C8=D8,"-",D8-C8)</f>
        <v>-</v>
      </c>
      <c r="F8" s="88">
        <f aca="true" t="shared" si="1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07">
        <v>150103</v>
      </c>
      <c r="D9" s="36">
        <f>C9</f>
        <v>150103</v>
      </c>
      <c r="E9" s="87" t="str">
        <f t="shared" si="0"/>
        <v>-</v>
      </c>
      <c r="F9" s="88">
        <f t="shared" si="1"/>
        <v>1</v>
      </c>
      <c r="H9" s="118"/>
    </row>
    <row r="10" spans="1:8" ht="31.5" customHeight="1">
      <c r="A10" s="40" t="s">
        <v>3</v>
      </c>
      <c r="B10" s="100" t="s">
        <v>157</v>
      </c>
      <c r="C10" s="107">
        <v>900376</v>
      </c>
      <c r="D10" s="36">
        <f aca="true" t="shared" si="2" ref="D10:D21">C10</f>
        <v>900376</v>
      </c>
      <c r="E10" s="87" t="str">
        <f t="shared" si="0"/>
        <v>-</v>
      </c>
      <c r="F10" s="88">
        <f t="shared" si="1"/>
        <v>1</v>
      </c>
      <c r="H10" s="118"/>
    </row>
    <row r="11" spans="1:8" ht="31.5" customHeight="1">
      <c r="A11" s="101" t="s">
        <v>64</v>
      </c>
      <c r="B11" s="45" t="s">
        <v>65</v>
      </c>
      <c r="C11" s="107">
        <v>49351</v>
      </c>
      <c r="D11" s="36">
        <f t="shared" si="2"/>
        <v>49351</v>
      </c>
      <c r="E11" s="87" t="str">
        <f t="shared" si="0"/>
        <v>-</v>
      </c>
      <c r="F11" s="88">
        <f t="shared" si="1"/>
        <v>1</v>
      </c>
      <c r="H11" s="118"/>
    </row>
    <row r="12" spans="1:8" ht="31.5" customHeight="1">
      <c r="A12" s="40" t="s">
        <v>4</v>
      </c>
      <c r="B12" s="100" t="s">
        <v>172</v>
      </c>
      <c r="C12" s="107">
        <v>71505</v>
      </c>
      <c r="D12" s="36">
        <f t="shared" si="2"/>
        <v>71505</v>
      </c>
      <c r="E12" s="87" t="str">
        <f t="shared" si="0"/>
        <v>-</v>
      </c>
      <c r="F12" s="88">
        <f t="shared" si="1"/>
        <v>1</v>
      </c>
      <c r="H12" s="118"/>
    </row>
    <row r="13" spans="1:8" ht="31.5" customHeight="1">
      <c r="A13" s="40" t="s">
        <v>5</v>
      </c>
      <c r="B13" s="100" t="s">
        <v>167</v>
      </c>
      <c r="C13" s="107">
        <v>56132</v>
      </c>
      <c r="D13" s="36">
        <f t="shared" si="2"/>
        <v>56132</v>
      </c>
      <c r="E13" s="87" t="str">
        <f t="shared" si="0"/>
        <v>-</v>
      </c>
      <c r="F13" s="88">
        <f t="shared" si="1"/>
        <v>1</v>
      </c>
      <c r="H13" s="118"/>
    </row>
    <row r="14" spans="1:8" ht="31.5" customHeight="1">
      <c r="A14" s="40" t="s">
        <v>6</v>
      </c>
      <c r="B14" s="100" t="s">
        <v>176</v>
      </c>
      <c r="C14" s="107">
        <v>23636</v>
      </c>
      <c r="D14" s="36">
        <f t="shared" si="2"/>
        <v>23636</v>
      </c>
      <c r="E14" s="87" t="str">
        <f t="shared" si="0"/>
        <v>-</v>
      </c>
      <c r="F14" s="88">
        <f t="shared" si="1"/>
        <v>1</v>
      </c>
      <c r="H14" s="118"/>
    </row>
    <row r="15" spans="1:8" ht="31.5" customHeight="1">
      <c r="A15" s="40" t="s">
        <v>7</v>
      </c>
      <c r="B15" s="100" t="s">
        <v>175</v>
      </c>
      <c r="C15" s="107">
        <v>12606</v>
      </c>
      <c r="D15" s="36">
        <f t="shared" si="2"/>
        <v>12606</v>
      </c>
      <c r="E15" s="87" t="str">
        <f>IF(C15=D15,"-",D15-C15)</f>
        <v>-</v>
      </c>
      <c r="F15" s="88">
        <f>IF(C15=0,"-",D15/C15)</f>
        <v>1</v>
      </c>
      <c r="H15" s="118"/>
    </row>
    <row r="16" spans="1:8" ht="31.5" customHeight="1">
      <c r="A16" s="40" t="s">
        <v>8</v>
      </c>
      <c r="B16" s="100" t="s">
        <v>168</v>
      </c>
      <c r="C16" s="107">
        <v>76798</v>
      </c>
      <c r="D16" s="36">
        <f t="shared" si="2"/>
        <v>76798</v>
      </c>
      <c r="E16" s="87" t="str">
        <f t="shared" si="0"/>
        <v>-</v>
      </c>
      <c r="F16" s="88">
        <f t="shared" si="1"/>
        <v>1</v>
      </c>
      <c r="H16" s="118"/>
    </row>
    <row r="17" spans="1:8" ht="31.5" customHeight="1">
      <c r="A17" s="40" t="s">
        <v>9</v>
      </c>
      <c r="B17" s="100" t="s">
        <v>169</v>
      </c>
      <c r="C17" s="107">
        <v>12500</v>
      </c>
      <c r="D17" s="36">
        <f t="shared" si="2"/>
        <v>12500</v>
      </c>
      <c r="E17" s="87" t="str">
        <f t="shared" si="0"/>
        <v>-</v>
      </c>
      <c r="F17" s="88">
        <f t="shared" si="1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2105</v>
      </c>
      <c r="D18" s="36">
        <f t="shared" si="2"/>
        <v>2105</v>
      </c>
      <c r="E18" s="87" t="str">
        <f t="shared" si="0"/>
        <v>-</v>
      </c>
      <c r="F18" s="88">
        <f t="shared" si="1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4984</v>
      </c>
      <c r="D19" s="36">
        <f t="shared" si="2"/>
        <v>4984</v>
      </c>
      <c r="E19" s="87" t="str">
        <f t="shared" si="0"/>
        <v>-</v>
      </c>
      <c r="F19" s="88">
        <f t="shared" si="1"/>
        <v>1</v>
      </c>
      <c r="H19" s="118"/>
    </row>
    <row r="20" spans="1:8" ht="31.5" customHeight="1">
      <c r="A20" s="40" t="s">
        <v>12</v>
      </c>
      <c r="B20" s="100" t="s">
        <v>171</v>
      </c>
      <c r="C20" s="107">
        <v>50184</v>
      </c>
      <c r="D20" s="36">
        <f t="shared" si="2"/>
        <v>50184</v>
      </c>
      <c r="E20" s="87" t="str">
        <f t="shared" si="0"/>
        <v>-</v>
      </c>
      <c r="F20" s="88">
        <f t="shared" si="1"/>
        <v>1</v>
      </c>
      <c r="H20" s="118"/>
    </row>
    <row r="21" spans="1:8" ht="31.5" customHeight="1">
      <c r="A21" s="40" t="s">
        <v>14</v>
      </c>
      <c r="B21" s="46" t="s">
        <v>13</v>
      </c>
      <c r="C21" s="107">
        <v>21827</v>
      </c>
      <c r="D21" s="36">
        <f t="shared" si="2"/>
        <v>21827</v>
      </c>
      <c r="E21" s="87" t="str">
        <f t="shared" si="0"/>
        <v>-</v>
      </c>
      <c r="F21" s="88">
        <f t="shared" si="1"/>
        <v>1</v>
      </c>
      <c r="H21" s="118"/>
    </row>
    <row r="22" spans="1:8" ht="31.5" customHeight="1">
      <c r="A22" s="41" t="s">
        <v>15</v>
      </c>
      <c r="B22" s="100" t="s">
        <v>173</v>
      </c>
      <c r="C22" s="107">
        <v>291787</v>
      </c>
      <c r="D22" s="36">
        <f aca="true" t="shared" si="3" ref="D22:D29">C22</f>
        <v>291787</v>
      </c>
      <c r="E22" s="87" t="str">
        <f t="shared" si="0"/>
        <v>-</v>
      </c>
      <c r="F22" s="88">
        <f t="shared" si="1"/>
        <v>1</v>
      </c>
      <c r="H22" s="118"/>
    </row>
    <row r="23" spans="1:8" ht="31.5" customHeight="1">
      <c r="A23" s="39" t="s">
        <v>178</v>
      </c>
      <c r="B23" s="45" t="s">
        <v>66</v>
      </c>
      <c r="C23" s="107">
        <v>800</v>
      </c>
      <c r="D23" s="36">
        <f t="shared" si="3"/>
        <v>800</v>
      </c>
      <c r="E23" s="87" t="str">
        <f t="shared" si="0"/>
        <v>-</v>
      </c>
      <c r="F23" s="88">
        <f t="shared" si="1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 t="shared" si="3"/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 t="shared" si="3"/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 t="shared" si="3"/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6646</v>
      </c>
      <c r="D27" s="36">
        <f t="shared" si="3"/>
        <v>6646</v>
      </c>
      <c r="E27" s="87" t="str">
        <f>IF(C27=D27,"-",D27-C27)</f>
        <v>-</v>
      </c>
      <c r="F27" s="88">
        <f>IF(C27=0,"-",D27/C27)</f>
        <v>1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 t="shared" si="3"/>
        <v>0</v>
      </c>
      <c r="E28" s="15" t="str">
        <f t="shared" si="0"/>
        <v>-</v>
      </c>
      <c r="F28" s="116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86352</v>
      </c>
      <c r="D29" s="115">
        <f t="shared" si="3"/>
        <v>86352</v>
      </c>
      <c r="E29" s="15" t="str">
        <f t="shared" si="0"/>
        <v>-</v>
      </c>
      <c r="F29" s="116">
        <f t="shared" si="1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18237</v>
      </c>
      <c r="D30" s="34">
        <f>D31+D32+D33+D41+D42+D48+D49+D50+D47</f>
        <v>18237</v>
      </c>
      <c r="E30" s="13" t="str">
        <f>IF(C30=D30,"-",D30-C30)</f>
        <v>-</v>
      </c>
      <c r="F30" s="89">
        <f t="shared" si="1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732</v>
      </c>
      <c r="D31" s="35">
        <f>C31</f>
        <v>732</v>
      </c>
      <c r="E31" s="87" t="str">
        <f aca="true" t="shared" si="4" ref="E31:E51">IF(C31=D31,"-",D31-C31)</f>
        <v>-</v>
      </c>
      <c r="F31" s="88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1711</v>
      </c>
      <c r="D32" s="35">
        <f>C32</f>
        <v>1711</v>
      </c>
      <c r="E32" s="87" t="str">
        <f t="shared" si="4"/>
        <v>-</v>
      </c>
      <c r="F32" s="88">
        <f t="shared" si="1"/>
        <v>1</v>
      </c>
      <c r="H32" s="118"/>
    </row>
    <row r="33" spans="1:8" ht="28.5" customHeight="1">
      <c r="A33" s="42" t="s">
        <v>23</v>
      </c>
      <c r="B33" s="51" t="s">
        <v>37</v>
      </c>
      <c r="C33" s="35">
        <v>63</v>
      </c>
      <c r="D33" s="35">
        <f>D34+D36+D37+D38+D39+D40</f>
        <v>63</v>
      </c>
      <c r="E33" s="87" t="str">
        <f t="shared" si="4"/>
        <v>-</v>
      </c>
      <c r="F33" s="88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31</v>
      </c>
      <c r="D34" s="35">
        <f>C34</f>
        <v>31</v>
      </c>
      <c r="E34" s="87" t="str">
        <f t="shared" si="4"/>
        <v>-</v>
      </c>
      <c r="F34" s="88">
        <f t="shared" si="1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28</v>
      </c>
      <c r="D35" s="35">
        <f aca="true" t="shared" si="5" ref="D35:D47">C35</f>
        <v>28</v>
      </c>
      <c r="E35" s="87" t="str">
        <f t="shared" si="4"/>
        <v>-</v>
      </c>
      <c r="F35" s="88">
        <f t="shared" si="1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0</v>
      </c>
      <c r="D36" s="35">
        <f t="shared" si="5"/>
        <v>0</v>
      </c>
      <c r="E36" s="87" t="str">
        <f t="shared" si="4"/>
        <v>-</v>
      </c>
      <c r="F36" s="88" t="str">
        <f t="shared" si="1"/>
        <v>-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5"/>
        <v>0</v>
      </c>
      <c r="E37" s="87" t="str">
        <f t="shared" si="4"/>
        <v>-</v>
      </c>
      <c r="F37" s="88" t="str">
        <f t="shared" si="1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5"/>
        <v>0</v>
      </c>
      <c r="E38" s="87" t="str">
        <f t="shared" si="4"/>
        <v>-</v>
      </c>
      <c r="F38" s="88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29</v>
      </c>
      <c r="D39" s="35">
        <f t="shared" si="5"/>
        <v>29</v>
      </c>
      <c r="E39" s="87" t="str">
        <f t="shared" si="4"/>
        <v>-</v>
      </c>
      <c r="F39" s="88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3</v>
      </c>
      <c r="D40" s="35">
        <f t="shared" si="5"/>
        <v>3</v>
      </c>
      <c r="E40" s="87" t="str">
        <f t="shared" si="4"/>
        <v>-</v>
      </c>
      <c r="F40" s="88">
        <f t="shared" si="1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10416</v>
      </c>
      <c r="D41" s="35">
        <f t="shared" si="5"/>
        <v>10416</v>
      </c>
      <c r="E41" s="87" t="str">
        <f t="shared" si="4"/>
        <v>-</v>
      </c>
      <c r="F41" s="88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v>2095</v>
      </c>
      <c r="D42" s="35">
        <f>SUM(D43:D46)</f>
        <v>2095</v>
      </c>
      <c r="E42" s="87" t="str">
        <f t="shared" si="4"/>
        <v>-</v>
      </c>
      <c r="F42" s="88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1582</v>
      </c>
      <c r="D43" s="35">
        <f>C43</f>
        <v>1582</v>
      </c>
      <c r="E43" s="87" t="str">
        <f t="shared" si="4"/>
        <v>-</v>
      </c>
      <c r="F43" s="88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255</v>
      </c>
      <c r="D44" s="35">
        <f>C44</f>
        <v>255</v>
      </c>
      <c r="E44" s="87" t="str">
        <f t="shared" si="4"/>
        <v>-</v>
      </c>
      <c r="F44" s="88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7" t="str">
        <f t="shared" si="4"/>
        <v>-</v>
      </c>
      <c r="F45" s="88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258</v>
      </c>
      <c r="D46" s="35">
        <f>C46</f>
        <v>258</v>
      </c>
      <c r="E46" s="87" t="str">
        <f t="shared" si="4"/>
        <v>-</v>
      </c>
      <c r="F46" s="88">
        <f t="shared" si="1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5"/>
        <v>0</v>
      </c>
      <c r="E47" s="87" t="str">
        <f t="shared" si="4"/>
        <v>-</v>
      </c>
      <c r="F47" s="88" t="str">
        <f aca="true" t="shared" si="6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3008</v>
      </c>
      <c r="D48" s="35">
        <f>C48</f>
        <v>3008</v>
      </c>
      <c r="E48" s="87" t="str">
        <f t="shared" si="4"/>
        <v>-</v>
      </c>
      <c r="F48" s="90">
        <f t="shared" si="6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80</v>
      </c>
      <c r="D49" s="35">
        <f>C49</f>
        <v>80</v>
      </c>
      <c r="E49" s="87" t="str">
        <f t="shared" si="4"/>
        <v>-</v>
      </c>
      <c r="F49" s="90">
        <f t="shared" si="6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132</v>
      </c>
      <c r="D50" s="35">
        <f>C50</f>
        <v>132</v>
      </c>
      <c r="E50" s="87" t="str">
        <f t="shared" si="4"/>
        <v>-</v>
      </c>
      <c r="F50" s="88">
        <f t="shared" si="6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36200</v>
      </c>
      <c r="D51" s="38">
        <f>SUM(D52:D55)</f>
        <v>36200</v>
      </c>
      <c r="E51" s="13" t="str">
        <f t="shared" si="4"/>
        <v>-</v>
      </c>
      <c r="F51" s="91">
        <f t="shared" si="6"/>
        <v>1</v>
      </c>
      <c r="H51" s="118"/>
    </row>
    <row r="52" spans="1:8" ht="42" customHeight="1">
      <c r="A52" s="42" t="s">
        <v>119</v>
      </c>
      <c r="B52" s="51" t="s">
        <v>144</v>
      </c>
      <c r="C52" s="92">
        <v>200</v>
      </c>
      <c r="D52" s="35">
        <f>C52-195</f>
        <v>5</v>
      </c>
      <c r="E52" s="92">
        <f>IF(C52=D52,"-",D52-C52)</f>
        <v>-195</v>
      </c>
      <c r="F52" s="98">
        <f t="shared" si="6"/>
        <v>0.025</v>
      </c>
      <c r="H52" s="118"/>
    </row>
    <row r="53" spans="1:8" ht="31.5" customHeight="1">
      <c r="A53" s="42" t="s">
        <v>35</v>
      </c>
      <c r="B53" s="51" t="s">
        <v>63</v>
      </c>
      <c r="C53" s="92">
        <v>36000</v>
      </c>
      <c r="D53" s="35">
        <f>C53-415</f>
        <v>35585</v>
      </c>
      <c r="E53" s="92">
        <f>IF(C53=D53,"-",D53-C53)</f>
        <v>-415</v>
      </c>
      <c r="F53" s="98">
        <f t="shared" si="6"/>
        <v>0.9885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6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0</v>
      </c>
      <c r="D55" s="35">
        <f>C55+610</f>
        <v>610</v>
      </c>
      <c r="E55" s="92">
        <f>IF(C55=D55,"-",D55-C55)</f>
        <v>610</v>
      </c>
      <c r="F55" s="98" t="str">
        <f t="shared" si="6"/>
        <v>-</v>
      </c>
      <c r="H55" s="118"/>
    </row>
    <row r="56" spans="1:8" ht="32.25" customHeight="1">
      <c r="A56" s="44" t="s">
        <v>127</v>
      </c>
      <c r="B56" s="56" t="s">
        <v>154</v>
      </c>
      <c r="C56" s="109">
        <v>3</v>
      </c>
      <c r="D56" s="38">
        <f>C56</f>
        <v>3</v>
      </c>
      <c r="E56" s="13" t="str">
        <f>IF(C56=D56,"-",D56-C56)</f>
        <v>-</v>
      </c>
      <c r="F56" s="105">
        <f>IF(C56=0,"-",D56/C56)</f>
        <v>1</v>
      </c>
      <c r="H56" s="118"/>
    </row>
    <row r="72" ht="54" customHeight="1"/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74"/>
  <sheetViews>
    <sheetView showGridLines="0" zoomScale="55" zoomScaleNormal="55" zoomScaleSheetLayoutView="55" zoomScalePageLayoutView="0" workbookViewId="0" topLeftCell="A1">
      <pane xSplit="2" ySplit="7" topLeftCell="C20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8" width="9.125" style="2" customWidth="1"/>
    <col min="9" max="16384" width="9.125" style="2" customWidth="1"/>
  </cols>
  <sheetData>
    <row r="1" spans="1:6" s="59" customFormat="1" ht="30" customHeight="1">
      <c r="A1" s="162" t="str">
        <f>NFZ!A1</f>
        <v>ZMIANA PLANU FINANSOWEGO NARODOWEGO FUNDUSZU ZDROWIA NA 2010 ROK Z 16 GRUDNIA 2010 R.</v>
      </c>
      <c r="B1" s="162"/>
      <c r="C1" s="162"/>
      <c r="D1" s="162"/>
      <c r="E1" s="162"/>
      <c r="F1" s="162"/>
    </row>
    <row r="2" spans="1:3" s="60" customFormat="1" ht="30.75" customHeight="1">
      <c r="A2" s="163" t="s">
        <v>85</v>
      </c>
      <c r="B2" s="163"/>
      <c r="C2" s="163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65" t="s">
        <v>164</v>
      </c>
      <c r="B4" s="164" t="s">
        <v>62</v>
      </c>
      <c r="C4" s="160" t="s">
        <v>201</v>
      </c>
      <c r="D4" s="157" t="s">
        <v>158</v>
      </c>
      <c r="E4" s="159" t="s">
        <v>163</v>
      </c>
      <c r="F4" s="159" t="s">
        <v>162</v>
      </c>
    </row>
    <row r="5" spans="1:6" s="6" customFormat="1" ht="33" customHeight="1">
      <c r="A5" s="164"/>
      <c r="B5" s="164"/>
      <c r="C5" s="161"/>
      <c r="D5" s="158"/>
      <c r="E5" s="159"/>
      <c r="F5" s="159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4907989</v>
      </c>
      <c r="D7" s="16">
        <f>D8+D9+D10+D12+D13+D14+D15+D16+D17+D18+D19+D20+D21+D22+D24+D25+D26+D27</f>
        <v>4907989</v>
      </c>
      <c r="E7" s="13" t="str">
        <f>IF(C7=D7,"-",D7-C7)</f>
        <v>-</v>
      </c>
      <c r="F7" s="86">
        <f>IF(C7=0,"-",D7/C7)</f>
        <v>1</v>
      </c>
      <c r="H7" s="118"/>
    </row>
    <row r="8" spans="1:8" ht="31.5" customHeight="1">
      <c r="A8" s="40" t="s">
        <v>1</v>
      </c>
      <c r="B8" s="100" t="s">
        <v>165</v>
      </c>
      <c r="C8" s="110">
        <v>672000</v>
      </c>
      <c r="D8" s="36">
        <f>C8</f>
        <v>672000</v>
      </c>
      <c r="E8" s="87" t="str">
        <f aca="true" t="shared" si="0" ref="E8:E29">IF(C8=D8,"-",D8-C8)</f>
        <v>-</v>
      </c>
      <c r="F8" s="88">
        <f aca="true" t="shared" si="1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10">
        <v>384100</v>
      </c>
      <c r="D9" s="36">
        <f>C9</f>
        <v>384100</v>
      </c>
      <c r="E9" s="87" t="str">
        <f t="shared" si="0"/>
        <v>-</v>
      </c>
      <c r="F9" s="88">
        <f t="shared" si="1"/>
        <v>1</v>
      </c>
      <c r="H9" s="118"/>
    </row>
    <row r="10" spans="1:8" ht="31.5" customHeight="1">
      <c r="A10" s="40" t="s">
        <v>3</v>
      </c>
      <c r="B10" s="100" t="s">
        <v>157</v>
      </c>
      <c r="C10" s="110">
        <v>2306939</v>
      </c>
      <c r="D10" s="36">
        <f>C10</f>
        <v>2306939</v>
      </c>
      <c r="E10" s="87" t="str">
        <f t="shared" si="0"/>
        <v>-</v>
      </c>
      <c r="F10" s="88">
        <f t="shared" si="1"/>
        <v>1</v>
      </c>
      <c r="H10" s="118"/>
    </row>
    <row r="11" spans="1:8" ht="31.5" customHeight="1">
      <c r="A11" s="101" t="s">
        <v>64</v>
      </c>
      <c r="B11" s="45" t="s">
        <v>65</v>
      </c>
      <c r="C11" s="110">
        <v>123300</v>
      </c>
      <c r="D11" s="36">
        <f aca="true" t="shared" si="2" ref="D11:D26">C11</f>
        <v>123300</v>
      </c>
      <c r="E11" s="87" t="str">
        <f t="shared" si="0"/>
        <v>-</v>
      </c>
      <c r="F11" s="88">
        <f t="shared" si="1"/>
        <v>1</v>
      </c>
      <c r="H11" s="118"/>
    </row>
    <row r="12" spans="1:8" ht="31.5" customHeight="1">
      <c r="A12" s="40" t="s">
        <v>4</v>
      </c>
      <c r="B12" s="100" t="s">
        <v>172</v>
      </c>
      <c r="C12" s="110">
        <v>162100</v>
      </c>
      <c r="D12" s="36">
        <f t="shared" si="2"/>
        <v>162100</v>
      </c>
      <c r="E12" s="87" t="str">
        <f t="shared" si="0"/>
        <v>-</v>
      </c>
      <c r="F12" s="88">
        <f t="shared" si="1"/>
        <v>1</v>
      </c>
      <c r="H12" s="118"/>
    </row>
    <row r="13" spans="1:8" ht="31.5" customHeight="1">
      <c r="A13" s="40" t="s">
        <v>5</v>
      </c>
      <c r="B13" s="100" t="s">
        <v>167</v>
      </c>
      <c r="C13" s="110">
        <v>132200</v>
      </c>
      <c r="D13" s="36">
        <f>C13</f>
        <v>132200</v>
      </c>
      <c r="E13" s="87" t="str">
        <f t="shared" si="0"/>
        <v>-</v>
      </c>
      <c r="F13" s="88">
        <f t="shared" si="1"/>
        <v>1</v>
      </c>
      <c r="H13" s="118"/>
    </row>
    <row r="14" spans="1:8" ht="31.5" customHeight="1">
      <c r="A14" s="40" t="s">
        <v>6</v>
      </c>
      <c r="B14" s="100" t="s">
        <v>176</v>
      </c>
      <c r="C14" s="110">
        <v>57800</v>
      </c>
      <c r="D14" s="36">
        <f>C14</f>
        <v>57800</v>
      </c>
      <c r="E14" s="87" t="str">
        <f t="shared" si="0"/>
        <v>-</v>
      </c>
      <c r="F14" s="88">
        <f t="shared" si="1"/>
        <v>1</v>
      </c>
      <c r="H14" s="118"/>
    </row>
    <row r="15" spans="1:8" ht="31.5" customHeight="1">
      <c r="A15" s="40" t="s">
        <v>7</v>
      </c>
      <c r="B15" s="100" t="s">
        <v>175</v>
      </c>
      <c r="C15" s="110">
        <v>37200</v>
      </c>
      <c r="D15" s="36">
        <f>C15</f>
        <v>37200</v>
      </c>
      <c r="E15" s="87" t="str">
        <f>IF(C15=D15,"-",D15-C15)</f>
        <v>-</v>
      </c>
      <c r="F15" s="88">
        <f>IF(C15=0,"-",D15/C15)</f>
        <v>1</v>
      </c>
      <c r="H15" s="118"/>
    </row>
    <row r="16" spans="1:8" ht="31.5" customHeight="1">
      <c r="A16" s="40" t="s">
        <v>8</v>
      </c>
      <c r="B16" s="100" t="s">
        <v>168</v>
      </c>
      <c r="C16" s="110">
        <v>151400</v>
      </c>
      <c r="D16" s="36">
        <f>C16</f>
        <v>151400</v>
      </c>
      <c r="E16" s="87" t="str">
        <f t="shared" si="0"/>
        <v>-</v>
      </c>
      <c r="F16" s="88">
        <f t="shared" si="1"/>
        <v>1</v>
      </c>
      <c r="H16" s="118"/>
    </row>
    <row r="17" spans="1:8" ht="31.5" customHeight="1">
      <c r="A17" s="40" t="s">
        <v>9</v>
      </c>
      <c r="B17" s="100" t="s">
        <v>169</v>
      </c>
      <c r="C17" s="110">
        <v>46100</v>
      </c>
      <c r="D17" s="36">
        <f t="shared" si="2"/>
        <v>46100</v>
      </c>
      <c r="E17" s="87" t="str">
        <f t="shared" si="0"/>
        <v>-</v>
      </c>
      <c r="F17" s="88">
        <f t="shared" si="1"/>
        <v>1</v>
      </c>
      <c r="H17" s="118"/>
    </row>
    <row r="18" spans="1:8" ht="33" customHeight="1">
      <c r="A18" s="40" t="s">
        <v>10</v>
      </c>
      <c r="B18" s="100" t="s">
        <v>177</v>
      </c>
      <c r="C18" s="110">
        <v>2500</v>
      </c>
      <c r="D18" s="36">
        <f t="shared" si="2"/>
        <v>2500</v>
      </c>
      <c r="E18" s="87" t="str">
        <f t="shared" si="0"/>
        <v>-</v>
      </c>
      <c r="F18" s="88">
        <f t="shared" si="1"/>
        <v>1</v>
      </c>
      <c r="H18" s="118"/>
    </row>
    <row r="19" spans="1:8" ht="33" customHeight="1">
      <c r="A19" s="40" t="s">
        <v>11</v>
      </c>
      <c r="B19" s="100" t="s">
        <v>170</v>
      </c>
      <c r="C19" s="110">
        <v>11500</v>
      </c>
      <c r="D19" s="36">
        <f>C19</f>
        <v>11500</v>
      </c>
      <c r="E19" s="87" t="str">
        <f t="shared" si="0"/>
        <v>-</v>
      </c>
      <c r="F19" s="88">
        <f t="shared" si="1"/>
        <v>1</v>
      </c>
      <c r="H19" s="118"/>
    </row>
    <row r="20" spans="1:8" ht="31.5" customHeight="1">
      <c r="A20" s="40" t="s">
        <v>12</v>
      </c>
      <c r="B20" s="100" t="s">
        <v>171</v>
      </c>
      <c r="C20" s="110">
        <v>122150</v>
      </c>
      <c r="D20" s="36">
        <f>C20</f>
        <v>122150</v>
      </c>
      <c r="E20" s="87" t="str">
        <f t="shared" si="0"/>
        <v>-</v>
      </c>
      <c r="F20" s="88">
        <f t="shared" si="1"/>
        <v>1</v>
      </c>
      <c r="H20" s="118"/>
    </row>
    <row r="21" spans="1:8" ht="31.5" customHeight="1">
      <c r="A21" s="40" t="s">
        <v>14</v>
      </c>
      <c r="B21" s="46" t="s">
        <v>13</v>
      </c>
      <c r="C21" s="110">
        <v>51000</v>
      </c>
      <c r="D21" s="36">
        <f t="shared" si="2"/>
        <v>51000</v>
      </c>
      <c r="E21" s="87" t="str">
        <f t="shared" si="0"/>
        <v>-</v>
      </c>
      <c r="F21" s="88">
        <f t="shared" si="1"/>
        <v>1</v>
      </c>
      <c r="H21" s="118"/>
    </row>
    <row r="22" spans="1:8" ht="31.5" customHeight="1">
      <c r="A22" s="41" t="s">
        <v>15</v>
      </c>
      <c r="B22" s="100" t="s">
        <v>173</v>
      </c>
      <c r="C22" s="110">
        <v>730000</v>
      </c>
      <c r="D22" s="36">
        <f t="shared" si="2"/>
        <v>730000</v>
      </c>
      <c r="E22" s="87" t="str">
        <f t="shared" si="0"/>
        <v>-</v>
      </c>
      <c r="F22" s="88">
        <f t="shared" si="1"/>
        <v>1</v>
      </c>
      <c r="H22" s="118"/>
    </row>
    <row r="23" spans="1:8" ht="31.5" customHeight="1">
      <c r="A23" s="39" t="s">
        <v>178</v>
      </c>
      <c r="B23" s="45" t="s">
        <v>66</v>
      </c>
      <c r="C23" s="110">
        <v>1500</v>
      </c>
      <c r="D23" s="36">
        <f t="shared" si="2"/>
        <v>1500</v>
      </c>
      <c r="E23" s="87" t="str">
        <f t="shared" si="0"/>
        <v>-</v>
      </c>
      <c r="F23" s="88">
        <f t="shared" si="1"/>
        <v>1</v>
      </c>
      <c r="H23" s="118"/>
    </row>
    <row r="24" spans="1:8" ht="33" customHeight="1">
      <c r="A24" s="42" t="s">
        <v>16</v>
      </c>
      <c r="B24" s="47" t="s">
        <v>140</v>
      </c>
      <c r="C24" s="110">
        <v>0</v>
      </c>
      <c r="D24" s="36">
        <f t="shared" si="2"/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10">
        <v>0</v>
      </c>
      <c r="D25" s="36">
        <f t="shared" si="2"/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10">
        <v>0</v>
      </c>
      <c r="D26" s="36">
        <f t="shared" si="2"/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10">
        <v>41000</v>
      </c>
      <c r="D27" s="36">
        <f>C27</f>
        <v>41000</v>
      </c>
      <c r="E27" s="87" t="str">
        <f>IF(C27=D27,"-",D27-C27)</f>
        <v>-</v>
      </c>
      <c r="F27" s="88">
        <f>IF(C27=0,"-",D27/C27)</f>
        <v>1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36">
        <f>C28</f>
        <v>0</v>
      </c>
      <c r="E28" s="15" t="str">
        <f t="shared" si="0"/>
        <v>-</v>
      </c>
      <c r="F28" s="116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137229</v>
      </c>
      <c r="D29" s="115">
        <v>137229</v>
      </c>
      <c r="E29" s="15" t="str">
        <f t="shared" si="0"/>
        <v>-</v>
      </c>
      <c r="F29" s="116">
        <f t="shared" si="1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46534</v>
      </c>
      <c r="D30" s="34">
        <f>D31+D32+D33+D41+D42+D48+D49+D50+D47</f>
        <v>46534</v>
      </c>
      <c r="E30" s="13" t="str">
        <f>IF(C30=D30,"-",D30-C30)</f>
        <v>-</v>
      </c>
      <c r="F30" s="89">
        <f t="shared" si="1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2274</v>
      </c>
      <c r="D31" s="35">
        <f>C31</f>
        <v>2274</v>
      </c>
      <c r="E31" s="87" t="str">
        <f aca="true" t="shared" si="3" ref="E31:E51">IF(C31=D31,"-",D31-C31)</f>
        <v>-</v>
      </c>
      <c r="F31" s="88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7006</v>
      </c>
      <c r="D32" s="35">
        <f>C32</f>
        <v>7006</v>
      </c>
      <c r="E32" s="87" t="str">
        <f t="shared" si="3"/>
        <v>-</v>
      </c>
      <c r="F32" s="88">
        <f t="shared" si="1"/>
        <v>1</v>
      </c>
      <c r="H32" s="118"/>
    </row>
    <row r="33" spans="1:8" ht="28.5" customHeight="1">
      <c r="A33" s="42" t="s">
        <v>23</v>
      </c>
      <c r="B33" s="51" t="s">
        <v>37</v>
      </c>
      <c r="C33" s="35">
        <v>327</v>
      </c>
      <c r="D33" s="35">
        <f>D34+D36+D37+D38+D39+D40</f>
        <v>327</v>
      </c>
      <c r="E33" s="87" t="str">
        <f t="shared" si="3"/>
        <v>-</v>
      </c>
      <c r="F33" s="88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41</v>
      </c>
      <c r="D34" s="35">
        <f>C34</f>
        <v>41</v>
      </c>
      <c r="E34" s="87" t="str">
        <f t="shared" si="3"/>
        <v>-</v>
      </c>
      <c r="F34" s="88">
        <f t="shared" si="1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41</v>
      </c>
      <c r="D35" s="35">
        <f>C35</f>
        <v>41</v>
      </c>
      <c r="E35" s="87" t="str">
        <f t="shared" si="3"/>
        <v>-</v>
      </c>
      <c r="F35" s="88">
        <f t="shared" si="1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0</v>
      </c>
      <c r="D36" s="35">
        <f aca="true" t="shared" si="4" ref="D36:D41">C36</f>
        <v>0</v>
      </c>
      <c r="E36" s="87" t="str">
        <f t="shared" si="3"/>
        <v>-</v>
      </c>
      <c r="F36" s="88" t="str">
        <f t="shared" si="1"/>
        <v>-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4"/>
        <v>0</v>
      </c>
      <c r="E37" s="87" t="str">
        <f t="shared" si="3"/>
        <v>-</v>
      </c>
      <c r="F37" s="88" t="str">
        <f t="shared" si="1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4"/>
        <v>0</v>
      </c>
      <c r="E38" s="87" t="str">
        <f t="shared" si="3"/>
        <v>-</v>
      </c>
      <c r="F38" s="88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223</v>
      </c>
      <c r="D39" s="35">
        <f t="shared" si="4"/>
        <v>223</v>
      </c>
      <c r="E39" s="87" t="str">
        <f t="shared" si="3"/>
        <v>-</v>
      </c>
      <c r="F39" s="88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63</v>
      </c>
      <c r="D40" s="35">
        <f t="shared" si="4"/>
        <v>63</v>
      </c>
      <c r="E40" s="87" t="str">
        <f t="shared" si="3"/>
        <v>-</v>
      </c>
      <c r="F40" s="88">
        <f t="shared" si="1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21781</v>
      </c>
      <c r="D41" s="35">
        <f t="shared" si="4"/>
        <v>21781</v>
      </c>
      <c r="E41" s="87" t="str">
        <f t="shared" si="3"/>
        <v>-</v>
      </c>
      <c r="F41" s="88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v>4390</v>
      </c>
      <c r="D42" s="35">
        <f>SUM(D43:D46)</f>
        <v>4390</v>
      </c>
      <c r="E42" s="87" t="str">
        <f t="shared" si="3"/>
        <v>-</v>
      </c>
      <c r="F42" s="88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3309</v>
      </c>
      <c r="D43" s="35">
        <f aca="true" t="shared" si="5" ref="D43:D50">C43</f>
        <v>3309</v>
      </c>
      <c r="E43" s="87" t="str">
        <f t="shared" si="3"/>
        <v>-</v>
      </c>
      <c r="F43" s="88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534</v>
      </c>
      <c r="D44" s="35">
        <f t="shared" si="5"/>
        <v>534</v>
      </c>
      <c r="E44" s="87" t="str">
        <f t="shared" si="3"/>
        <v>-</v>
      </c>
      <c r="F44" s="88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7" t="str">
        <f t="shared" si="3"/>
        <v>-</v>
      </c>
      <c r="F45" s="88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547</v>
      </c>
      <c r="D46" s="35">
        <f t="shared" si="5"/>
        <v>547</v>
      </c>
      <c r="E46" s="87" t="str">
        <f t="shared" si="3"/>
        <v>-</v>
      </c>
      <c r="F46" s="88">
        <f t="shared" si="1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5"/>
        <v>0</v>
      </c>
      <c r="E47" s="87" t="str">
        <f t="shared" si="3"/>
        <v>-</v>
      </c>
      <c r="F47" s="88" t="str">
        <f aca="true" t="shared" si="6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10284</v>
      </c>
      <c r="D48" s="35">
        <f t="shared" si="5"/>
        <v>10284</v>
      </c>
      <c r="E48" s="87" t="str">
        <f t="shared" si="3"/>
        <v>-</v>
      </c>
      <c r="F48" s="90">
        <f t="shared" si="6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0</v>
      </c>
      <c r="D49" s="35">
        <f t="shared" si="5"/>
        <v>0</v>
      </c>
      <c r="E49" s="87" t="str">
        <f t="shared" si="3"/>
        <v>-</v>
      </c>
      <c r="F49" s="90" t="str">
        <f t="shared" si="6"/>
        <v>-</v>
      </c>
      <c r="H49" s="118"/>
    </row>
    <row r="50" spans="1:8" ht="33" customHeight="1">
      <c r="A50" s="42" t="s">
        <v>32</v>
      </c>
      <c r="B50" s="51" t="s">
        <v>33</v>
      </c>
      <c r="C50" s="92">
        <v>472</v>
      </c>
      <c r="D50" s="35">
        <f t="shared" si="5"/>
        <v>472</v>
      </c>
      <c r="E50" s="87" t="str">
        <f t="shared" si="3"/>
        <v>-</v>
      </c>
      <c r="F50" s="88">
        <f t="shared" si="6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23387</v>
      </c>
      <c r="D51" s="38">
        <f>SUM(D52:D55)</f>
        <v>21358</v>
      </c>
      <c r="E51" s="13">
        <f t="shared" si="3"/>
        <v>-2029</v>
      </c>
      <c r="F51" s="91">
        <f t="shared" si="6"/>
        <v>0.9132</v>
      </c>
      <c r="H51" s="118"/>
    </row>
    <row r="52" spans="1:8" ht="42" customHeight="1">
      <c r="A52" s="42" t="s">
        <v>119</v>
      </c>
      <c r="B52" s="51" t="s">
        <v>144</v>
      </c>
      <c r="C52" s="92">
        <v>1235</v>
      </c>
      <c r="D52" s="35">
        <f>C52-1220</f>
        <v>15</v>
      </c>
      <c r="E52" s="92">
        <f>IF(C52=D52,"-",D52-C52)</f>
        <v>-1220</v>
      </c>
      <c r="F52" s="98">
        <f t="shared" si="6"/>
        <v>0.0121</v>
      </c>
      <c r="H52" s="118"/>
    </row>
    <row r="53" spans="1:8" ht="31.5" customHeight="1">
      <c r="A53" s="42" t="s">
        <v>35</v>
      </c>
      <c r="B53" s="51" t="s">
        <v>63</v>
      </c>
      <c r="C53" s="92">
        <v>18707</v>
      </c>
      <c r="D53" s="35">
        <f>C53+2336</f>
        <v>21043</v>
      </c>
      <c r="E53" s="92">
        <f>IF(C53=D53,"-",D53-C53)</f>
        <v>2336</v>
      </c>
      <c r="F53" s="98">
        <f t="shared" si="6"/>
        <v>1.1249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6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3445</v>
      </c>
      <c r="D55" s="35">
        <f>C55-3145</f>
        <v>300</v>
      </c>
      <c r="E55" s="92">
        <f>IF(C55=D55,"-",D55-C55)</f>
        <v>-3145</v>
      </c>
      <c r="F55" s="98">
        <f t="shared" si="6"/>
        <v>0.0871</v>
      </c>
      <c r="H55" s="118"/>
    </row>
    <row r="56" spans="1:8" ht="32.25" customHeight="1">
      <c r="A56" s="44" t="s">
        <v>127</v>
      </c>
      <c r="B56" s="56" t="s">
        <v>154</v>
      </c>
      <c r="C56" s="109">
        <v>5259</v>
      </c>
      <c r="D56" s="38">
        <f>C56+11643</f>
        <v>16902</v>
      </c>
      <c r="E56" s="13">
        <f>IF(C56=D56,"-",D56-C56)</f>
        <v>11643</v>
      </c>
      <c r="F56" s="91">
        <f>IF(C56=0,"-",D56/C56)</f>
        <v>3.2139</v>
      </c>
      <c r="H56" s="118"/>
    </row>
    <row r="72" ht="54" customHeight="1"/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74"/>
  <sheetViews>
    <sheetView showGridLines="0" zoomScale="55" zoomScaleNormal="55" zoomScaleSheetLayoutView="55" zoomScalePageLayoutView="0" workbookViewId="0" topLeftCell="A1">
      <pane xSplit="2" ySplit="7" topLeftCell="C26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8" width="9.125" style="2" customWidth="1"/>
    <col min="9" max="16384" width="9.125" style="2" customWidth="1"/>
  </cols>
  <sheetData>
    <row r="1" spans="1:6" s="59" customFormat="1" ht="30" customHeight="1">
      <c r="A1" s="162" t="str">
        <f>NFZ!A1</f>
        <v>ZMIANA PLANU FINANSOWEGO NARODOWEGO FUNDUSZU ZDROWIA NA 2010 ROK Z 16 GRUDNIA 2010 R.</v>
      </c>
      <c r="B1" s="162"/>
      <c r="C1" s="162"/>
      <c r="D1" s="162"/>
      <c r="E1" s="162"/>
      <c r="F1" s="162"/>
    </row>
    <row r="2" spans="1:3" s="60" customFormat="1" ht="30.75" customHeight="1">
      <c r="A2" s="163" t="s">
        <v>86</v>
      </c>
      <c r="B2" s="163"/>
      <c r="C2" s="163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65" t="s">
        <v>164</v>
      </c>
      <c r="B4" s="164" t="s">
        <v>62</v>
      </c>
      <c r="C4" s="160" t="s">
        <v>201</v>
      </c>
      <c r="D4" s="157" t="s">
        <v>158</v>
      </c>
      <c r="E4" s="159" t="s">
        <v>163</v>
      </c>
      <c r="F4" s="159" t="s">
        <v>162</v>
      </c>
    </row>
    <row r="5" spans="1:6" s="6" customFormat="1" ht="33" customHeight="1">
      <c r="A5" s="164"/>
      <c r="B5" s="164"/>
      <c r="C5" s="161"/>
      <c r="D5" s="158"/>
      <c r="E5" s="159"/>
      <c r="F5" s="159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2511622</v>
      </c>
      <c r="D7" s="16">
        <f>D8+D9+D10+D12+D13+D14+D15+D16+D17+D18+D19+D20+D21+D22+D24+D25+D26+D27</f>
        <v>2511622</v>
      </c>
      <c r="E7" s="13" t="str">
        <f>IF(C7=D7,"-",D7-C7)</f>
        <v>-</v>
      </c>
      <c r="F7" s="86">
        <f>IF(C7=0,"-",D7/C7)</f>
        <v>1</v>
      </c>
      <c r="H7" s="118"/>
    </row>
    <row r="8" spans="1:8" ht="31.5" customHeight="1">
      <c r="A8" s="40" t="s">
        <v>1</v>
      </c>
      <c r="B8" s="100" t="s">
        <v>165</v>
      </c>
      <c r="C8" s="107">
        <v>332666</v>
      </c>
      <c r="D8" s="36">
        <f>C8</f>
        <v>332666</v>
      </c>
      <c r="E8" s="87" t="str">
        <f aca="true" t="shared" si="0" ref="E8:E29">IF(C8=D8,"-",D8-C8)</f>
        <v>-</v>
      </c>
      <c r="F8" s="88">
        <f aca="true" t="shared" si="1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07">
        <v>186240</v>
      </c>
      <c r="D9" s="36">
        <f aca="true" t="shared" si="2" ref="D9:D26">C9</f>
        <v>186240</v>
      </c>
      <c r="E9" s="87" t="str">
        <f t="shared" si="0"/>
        <v>-</v>
      </c>
      <c r="F9" s="88">
        <f t="shared" si="1"/>
        <v>1</v>
      </c>
      <c r="H9" s="118"/>
    </row>
    <row r="10" spans="1:8" ht="31.5" customHeight="1">
      <c r="A10" s="40" t="s">
        <v>3</v>
      </c>
      <c r="B10" s="100" t="s">
        <v>157</v>
      </c>
      <c r="C10" s="107">
        <v>1214240</v>
      </c>
      <c r="D10" s="36">
        <f t="shared" si="2"/>
        <v>1214240</v>
      </c>
      <c r="E10" s="87" t="str">
        <f t="shared" si="0"/>
        <v>-</v>
      </c>
      <c r="F10" s="88">
        <f t="shared" si="1"/>
        <v>1</v>
      </c>
      <c r="H10" s="118"/>
    </row>
    <row r="11" spans="1:8" ht="31.5" customHeight="1">
      <c r="A11" s="101" t="s">
        <v>64</v>
      </c>
      <c r="B11" s="45" t="s">
        <v>65</v>
      </c>
      <c r="C11" s="107">
        <v>60529</v>
      </c>
      <c r="D11" s="36">
        <f aca="true" t="shared" si="3" ref="D11:D17">C11</f>
        <v>60529</v>
      </c>
      <c r="E11" s="87" t="str">
        <f t="shared" si="0"/>
        <v>-</v>
      </c>
      <c r="F11" s="88">
        <f t="shared" si="1"/>
        <v>1</v>
      </c>
      <c r="H11" s="118"/>
    </row>
    <row r="12" spans="1:8" ht="31.5" customHeight="1">
      <c r="A12" s="40" t="s">
        <v>4</v>
      </c>
      <c r="B12" s="100" t="s">
        <v>172</v>
      </c>
      <c r="C12" s="107">
        <v>84167</v>
      </c>
      <c r="D12" s="36">
        <f t="shared" si="3"/>
        <v>84167</v>
      </c>
      <c r="E12" s="87" t="str">
        <f t="shared" si="0"/>
        <v>-</v>
      </c>
      <c r="F12" s="88">
        <f t="shared" si="1"/>
        <v>1</v>
      </c>
      <c r="H12" s="118"/>
    </row>
    <row r="13" spans="1:8" ht="31.5" customHeight="1">
      <c r="A13" s="40" t="s">
        <v>5</v>
      </c>
      <c r="B13" s="100" t="s">
        <v>167</v>
      </c>
      <c r="C13" s="107">
        <v>67255</v>
      </c>
      <c r="D13" s="36">
        <f t="shared" si="3"/>
        <v>67255</v>
      </c>
      <c r="E13" s="87" t="str">
        <f t="shared" si="0"/>
        <v>-</v>
      </c>
      <c r="F13" s="88">
        <f t="shared" si="1"/>
        <v>1</v>
      </c>
      <c r="H13" s="118"/>
    </row>
    <row r="14" spans="1:8" ht="31.5" customHeight="1">
      <c r="A14" s="40" t="s">
        <v>6</v>
      </c>
      <c r="B14" s="100" t="s">
        <v>176</v>
      </c>
      <c r="C14" s="107">
        <v>32256</v>
      </c>
      <c r="D14" s="36">
        <f t="shared" si="3"/>
        <v>32256</v>
      </c>
      <c r="E14" s="87" t="str">
        <f t="shared" si="0"/>
        <v>-</v>
      </c>
      <c r="F14" s="88">
        <f t="shared" si="1"/>
        <v>1</v>
      </c>
      <c r="H14" s="118"/>
    </row>
    <row r="15" spans="1:8" ht="31.5" customHeight="1">
      <c r="A15" s="40" t="s">
        <v>7</v>
      </c>
      <c r="B15" s="100" t="s">
        <v>175</v>
      </c>
      <c r="C15" s="107">
        <v>8045</v>
      </c>
      <c r="D15" s="36">
        <f t="shared" si="3"/>
        <v>8045</v>
      </c>
      <c r="E15" s="87" t="str">
        <f>IF(C15=D15,"-",D15-C15)</f>
        <v>-</v>
      </c>
      <c r="F15" s="88">
        <f>IF(C15=0,"-",D15/C15)</f>
        <v>1</v>
      </c>
      <c r="H15" s="118"/>
    </row>
    <row r="16" spans="1:8" ht="31.5" customHeight="1">
      <c r="A16" s="40" t="s">
        <v>8</v>
      </c>
      <c r="B16" s="100" t="s">
        <v>168</v>
      </c>
      <c r="C16" s="107">
        <v>82357</v>
      </c>
      <c r="D16" s="36">
        <f t="shared" si="3"/>
        <v>82357</v>
      </c>
      <c r="E16" s="87" t="str">
        <f t="shared" si="0"/>
        <v>-</v>
      </c>
      <c r="F16" s="88">
        <f t="shared" si="1"/>
        <v>1</v>
      </c>
      <c r="H16" s="118"/>
    </row>
    <row r="17" spans="1:8" ht="31.5" customHeight="1">
      <c r="A17" s="40" t="s">
        <v>9</v>
      </c>
      <c r="B17" s="100" t="s">
        <v>169</v>
      </c>
      <c r="C17" s="107">
        <v>18127</v>
      </c>
      <c r="D17" s="36">
        <f t="shared" si="3"/>
        <v>18127</v>
      </c>
      <c r="E17" s="87" t="str">
        <f t="shared" si="0"/>
        <v>-</v>
      </c>
      <c r="F17" s="88">
        <f t="shared" si="1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1748</v>
      </c>
      <c r="D18" s="36">
        <f t="shared" si="2"/>
        <v>1748</v>
      </c>
      <c r="E18" s="87" t="str">
        <f t="shared" si="0"/>
        <v>-</v>
      </c>
      <c r="F18" s="88">
        <f t="shared" si="1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7180</v>
      </c>
      <c r="D19" s="36">
        <f t="shared" si="2"/>
        <v>7180</v>
      </c>
      <c r="E19" s="87" t="str">
        <f t="shared" si="0"/>
        <v>-</v>
      </c>
      <c r="F19" s="88">
        <f t="shared" si="1"/>
        <v>1</v>
      </c>
      <c r="H19" s="118"/>
    </row>
    <row r="20" spans="1:8" ht="31.5" customHeight="1">
      <c r="A20" s="40" t="s">
        <v>12</v>
      </c>
      <c r="B20" s="100" t="s">
        <v>171</v>
      </c>
      <c r="C20" s="107">
        <v>61448</v>
      </c>
      <c r="D20" s="36">
        <f>C20</f>
        <v>61448</v>
      </c>
      <c r="E20" s="87" t="str">
        <f t="shared" si="0"/>
        <v>-</v>
      </c>
      <c r="F20" s="88">
        <f t="shared" si="1"/>
        <v>1</v>
      </c>
      <c r="H20" s="118"/>
    </row>
    <row r="21" spans="1:8" ht="31.5" customHeight="1">
      <c r="A21" s="40" t="s">
        <v>14</v>
      </c>
      <c r="B21" s="46" t="s">
        <v>13</v>
      </c>
      <c r="C21" s="107">
        <v>26373</v>
      </c>
      <c r="D21" s="36">
        <f>C21</f>
        <v>26373</v>
      </c>
      <c r="E21" s="87" t="str">
        <f t="shared" si="0"/>
        <v>-</v>
      </c>
      <c r="F21" s="88">
        <f t="shared" si="1"/>
        <v>1</v>
      </c>
      <c r="H21" s="118"/>
    </row>
    <row r="22" spans="1:8" ht="31.5" customHeight="1">
      <c r="A22" s="41" t="s">
        <v>15</v>
      </c>
      <c r="B22" s="100" t="s">
        <v>173</v>
      </c>
      <c r="C22" s="107">
        <v>379520</v>
      </c>
      <c r="D22" s="36">
        <f t="shared" si="2"/>
        <v>379520</v>
      </c>
      <c r="E22" s="87" t="str">
        <f t="shared" si="0"/>
        <v>-</v>
      </c>
      <c r="F22" s="88">
        <f t="shared" si="1"/>
        <v>1</v>
      </c>
      <c r="H22" s="118"/>
    </row>
    <row r="23" spans="1:8" ht="31.5" customHeight="1">
      <c r="A23" s="39" t="s">
        <v>178</v>
      </c>
      <c r="B23" s="45" t="s">
        <v>66</v>
      </c>
      <c r="C23" s="107">
        <v>709</v>
      </c>
      <c r="D23" s="36">
        <f t="shared" si="2"/>
        <v>709</v>
      </c>
      <c r="E23" s="87" t="str">
        <f t="shared" si="0"/>
        <v>-</v>
      </c>
      <c r="F23" s="88">
        <f t="shared" si="1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 t="shared" si="2"/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 t="shared" si="2"/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 t="shared" si="2"/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10000</v>
      </c>
      <c r="D27" s="36">
        <f>C27</f>
        <v>10000</v>
      </c>
      <c r="E27" s="87" t="str">
        <f>IF(C27=D27,"-",D27-C27)</f>
        <v>-</v>
      </c>
      <c r="F27" s="88">
        <f>IF(C27=0,"-",D27/C27)</f>
        <v>1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>C28</f>
        <v>0</v>
      </c>
      <c r="E28" s="15" t="str">
        <f t="shared" si="0"/>
        <v>-</v>
      </c>
      <c r="F28" s="116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93966</v>
      </c>
      <c r="D29" s="115">
        <v>93966</v>
      </c>
      <c r="E29" s="15" t="str">
        <f t="shared" si="0"/>
        <v>-</v>
      </c>
      <c r="F29" s="116">
        <f t="shared" si="1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21877</v>
      </c>
      <c r="D30" s="34">
        <f>D31+D32+D33+D41+D42+D48+D49+D50+D47</f>
        <v>21877</v>
      </c>
      <c r="E30" s="13" t="str">
        <f>IF(C30=D30,"-",D30-C30)</f>
        <v>-</v>
      </c>
      <c r="F30" s="89">
        <f t="shared" si="1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980</v>
      </c>
      <c r="D31" s="35">
        <f>C31</f>
        <v>980</v>
      </c>
      <c r="E31" s="87" t="str">
        <f aca="true" t="shared" si="4" ref="E31:E51">IF(C31=D31,"-",D31-C31)</f>
        <v>-</v>
      </c>
      <c r="F31" s="88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1945</v>
      </c>
      <c r="D32" s="35">
        <f>C32</f>
        <v>1945</v>
      </c>
      <c r="E32" s="87" t="str">
        <f t="shared" si="4"/>
        <v>-</v>
      </c>
      <c r="F32" s="88">
        <f t="shared" si="1"/>
        <v>1</v>
      </c>
      <c r="H32" s="118"/>
    </row>
    <row r="33" spans="1:8" ht="28.5" customHeight="1">
      <c r="A33" s="42" t="s">
        <v>23</v>
      </c>
      <c r="B33" s="51" t="s">
        <v>37</v>
      </c>
      <c r="C33" s="35">
        <v>208</v>
      </c>
      <c r="D33" s="35">
        <f>D34+D36+D37+D38+D39+D40</f>
        <v>208</v>
      </c>
      <c r="E33" s="87" t="str">
        <f t="shared" si="4"/>
        <v>-</v>
      </c>
      <c r="F33" s="88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24</v>
      </c>
      <c r="D34" s="35">
        <f aca="true" t="shared" si="5" ref="D34:D41">C34</f>
        <v>24</v>
      </c>
      <c r="E34" s="87" t="str">
        <f t="shared" si="4"/>
        <v>-</v>
      </c>
      <c r="F34" s="88">
        <f t="shared" si="1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24</v>
      </c>
      <c r="D35" s="35">
        <f t="shared" si="5"/>
        <v>24</v>
      </c>
      <c r="E35" s="87" t="str">
        <f t="shared" si="4"/>
        <v>-</v>
      </c>
      <c r="F35" s="88">
        <f t="shared" si="1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6</v>
      </c>
      <c r="D36" s="35">
        <f t="shared" si="5"/>
        <v>6</v>
      </c>
      <c r="E36" s="87" t="str">
        <f t="shared" si="4"/>
        <v>-</v>
      </c>
      <c r="F36" s="88">
        <f t="shared" si="1"/>
        <v>1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5"/>
        <v>0</v>
      </c>
      <c r="E37" s="87" t="str">
        <f t="shared" si="4"/>
        <v>-</v>
      </c>
      <c r="F37" s="88" t="str">
        <f t="shared" si="1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5"/>
        <v>0</v>
      </c>
      <c r="E38" s="87" t="str">
        <f t="shared" si="4"/>
        <v>-</v>
      </c>
      <c r="F38" s="88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158</v>
      </c>
      <c r="D39" s="35">
        <f t="shared" si="5"/>
        <v>158</v>
      </c>
      <c r="E39" s="87" t="str">
        <f t="shared" si="4"/>
        <v>-</v>
      </c>
      <c r="F39" s="88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20</v>
      </c>
      <c r="D40" s="35">
        <f t="shared" si="5"/>
        <v>20</v>
      </c>
      <c r="E40" s="87" t="str">
        <f t="shared" si="4"/>
        <v>-</v>
      </c>
      <c r="F40" s="88">
        <f t="shared" si="1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12134</v>
      </c>
      <c r="D41" s="35">
        <f t="shared" si="5"/>
        <v>12134</v>
      </c>
      <c r="E41" s="87" t="str">
        <f t="shared" si="4"/>
        <v>-</v>
      </c>
      <c r="F41" s="88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v>2453</v>
      </c>
      <c r="D42" s="106">
        <f>D43+D44+D45+D46</f>
        <v>2453</v>
      </c>
      <c r="E42" s="87" t="str">
        <f t="shared" si="4"/>
        <v>-</v>
      </c>
      <c r="F42" s="88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1843</v>
      </c>
      <c r="D43" s="35">
        <f aca="true" t="shared" si="6" ref="D43:D50">C43</f>
        <v>1843</v>
      </c>
      <c r="E43" s="87" t="str">
        <f t="shared" si="4"/>
        <v>-</v>
      </c>
      <c r="F43" s="88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297</v>
      </c>
      <c r="D44" s="35">
        <f t="shared" si="6"/>
        <v>297</v>
      </c>
      <c r="E44" s="87" t="str">
        <f t="shared" si="4"/>
        <v>-</v>
      </c>
      <c r="F44" s="88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6"/>
        <v>0</v>
      </c>
      <c r="E45" s="87" t="str">
        <f t="shared" si="4"/>
        <v>-</v>
      </c>
      <c r="F45" s="88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313</v>
      </c>
      <c r="D46" s="35">
        <f t="shared" si="6"/>
        <v>313</v>
      </c>
      <c r="E46" s="87" t="str">
        <f t="shared" si="4"/>
        <v>-</v>
      </c>
      <c r="F46" s="88">
        <f t="shared" si="1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6"/>
        <v>0</v>
      </c>
      <c r="E47" s="87" t="str">
        <f t="shared" si="4"/>
        <v>-</v>
      </c>
      <c r="F47" s="88" t="str">
        <f aca="true" t="shared" si="7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3768</v>
      </c>
      <c r="D48" s="35">
        <f t="shared" si="6"/>
        <v>3768</v>
      </c>
      <c r="E48" s="87" t="str">
        <f t="shared" si="4"/>
        <v>-</v>
      </c>
      <c r="F48" s="90">
        <f t="shared" si="7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209</v>
      </c>
      <c r="D49" s="35">
        <f t="shared" si="6"/>
        <v>209</v>
      </c>
      <c r="E49" s="87" t="str">
        <f t="shared" si="4"/>
        <v>-</v>
      </c>
      <c r="F49" s="90">
        <f t="shared" si="7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180</v>
      </c>
      <c r="D50" s="35">
        <f t="shared" si="6"/>
        <v>180</v>
      </c>
      <c r="E50" s="87" t="str">
        <f t="shared" si="4"/>
        <v>-</v>
      </c>
      <c r="F50" s="88">
        <f t="shared" si="7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9565</v>
      </c>
      <c r="D51" s="38">
        <f>SUM(D52:D55)</f>
        <v>654</v>
      </c>
      <c r="E51" s="13">
        <f t="shared" si="4"/>
        <v>-8911</v>
      </c>
      <c r="F51" s="91">
        <f t="shared" si="7"/>
        <v>0.0684</v>
      </c>
      <c r="H51" s="118"/>
    </row>
    <row r="52" spans="1:8" ht="42" customHeight="1">
      <c r="A52" s="42" t="s">
        <v>119</v>
      </c>
      <c r="B52" s="51" t="s">
        <v>144</v>
      </c>
      <c r="C52" s="92">
        <v>20</v>
      </c>
      <c r="D52" s="35">
        <f>C52-3</f>
        <v>17</v>
      </c>
      <c r="E52" s="92">
        <f>IF(C52=D52,"-",D52-C52)</f>
        <v>-3</v>
      </c>
      <c r="F52" s="98">
        <f t="shared" si="7"/>
        <v>0.85</v>
      </c>
      <c r="H52" s="118"/>
    </row>
    <row r="53" spans="1:8" ht="31.5" customHeight="1">
      <c r="A53" s="42" t="s">
        <v>35</v>
      </c>
      <c r="B53" s="51" t="s">
        <v>63</v>
      </c>
      <c r="C53" s="92">
        <v>9330</v>
      </c>
      <c r="D53" s="35">
        <f>C53-8792</f>
        <v>538</v>
      </c>
      <c r="E53" s="92">
        <f>IF(C53=D53,"-",D53-C53)</f>
        <v>-8792</v>
      </c>
      <c r="F53" s="98">
        <f t="shared" si="7"/>
        <v>0.0577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7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215</v>
      </c>
      <c r="D55" s="35">
        <f>C55-116</f>
        <v>99</v>
      </c>
      <c r="E55" s="92">
        <f>IF(C55=D55,"-",D55-C55)</f>
        <v>-116</v>
      </c>
      <c r="F55" s="98">
        <f t="shared" si="7"/>
        <v>0.4605</v>
      </c>
      <c r="H55" s="118"/>
    </row>
    <row r="56" spans="1:8" ht="32.25" customHeight="1">
      <c r="A56" s="44" t="s">
        <v>127</v>
      </c>
      <c r="B56" s="56" t="s">
        <v>154</v>
      </c>
      <c r="C56" s="109">
        <v>18</v>
      </c>
      <c r="D56" s="38">
        <f>C56+23</f>
        <v>41</v>
      </c>
      <c r="E56" s="13">
        <f>IF(C56=D56,"-",D56-C56)</f>
        <v>23</v>
      </c>
      <c r="F56" s="91">
        <f>IF(C56=0,"-",D56/C56)</f>
        <v>2.2778</v>
      </c>
      <c r="H56" s="118"/>
    </row>
    <row r="72" ht="54" customHeight="1"/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74"/>
  <sheetViews>
    <sheetView showGridLines="0" zoomScale="55" zoomScaleNormal="55" zoomScaleSheetLayoutView="55" zoomScalePageLayoutView="0" workbookViewId="0" topLeftCell="A1">
      <selection activeCell="A1" sqref="A1:F1"/>
    </sheetView>
  </sheetViews>
  <sheetFormatPr defaultColWidth="9.00390625" defaultRowHeight="12.75"/>
  <cols>
    <col min="1" max="1" width="9.125" style="2" customWidth="1"/>
    <col min="2" max="2" width="127.25390625" style="2" customWidth="1"/>
    <col min="3" max="4" width="24.75390625" style="2" customWidth="1"/>
    <col min="5" max="6" width="20.75390625" style="2" customWidth="1"/>
    <col min="7" max="8" width="9.125" style="2" customWidth="1"/>
    <col min="9" max="16384" width="9.125" style="2" customWidth="1"/>
  </cols>
  <sheetData>
    <row r="1" spans="1:6" s="59" customFormat="1" ht="32.25" customHeight="1">
      <c r="A1" s="162" t="str">
        <f>NFZ!A1</f>
        <v>ZMIANA PLANU FINANSOWEGO NARODOWEGO FUNDUSZU ZDROWIA NA 2010 ROK Z 16 GRUDNIA 2010 R.</v>
      </c>
      <c r="B1" s="162"/>
      <c r="C1" s="162"/>
      <c r="D1" s="162"/>
      <c r="E1" s="162"/>
      <c r="F1" s="162"/>
    </row>
    <row r="2" spans="1:3" s="60" customFormat="1" ht="30.75" customHeight="1">
      <c r="A2" s="163" t="s">
        <v>89</v>
      </c>
      <c r="B2" s="163"/>
      <c r="C2" s="163"/>
    </row>
    <row r="3" spans="1:6" ht="33" customHeight="1">
      <c r="A3" s="1"/>
      <c r="B3" s="85"/>
      <c r="D3" s="30"/>
      <c r="E3" s="30"/>
      <c r="F3" s="30" t="s">
        <v>90</v>
      </c>
    </row>
    <row r="4" spans="1:6" s="6" customFormat="1" ht="33" customHeight="1">
      <c r="A4" s="164" t="s">
        <v>164</v>
      </c>
      <c r="B4" s="164" t="s">
        <v>62</v>
      </c>
      <c r="C4" s="160" t="s">
        <v>201</v>
      </c>
      <c r="D4" s="157" t="s">
        <v>158</v>
      </c>
      <c r="E4" s="159" t="s">
        <v>163</v>
      </c>
      <c r="F4" s="159" t="s">
        <v>162</v>
      </c>
    </row>
    <row r="5" spans="1:6" s="6" customFormat="1" ht="33" customHeight="1">
      <c r="A5" s="164"/>
      <c r="B5" s="164"/>
      <c r="C5" s="161"/>
      <c r="D5" s="158"/>
      <c r="E5" s="159"/>
      <c r="F5" s="159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9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427384</v>
      </c>
      <c r="D7" s="16">
        <f>D8+D9+D10+D12+D13+D14+D15+D16+D17+D18+D19+D20+D21+D22+D24+D25+D26+D27</f>
        <v>427384</v>
      </c>
      <c r="E7" s="13" t="str">
        <f>IF(C7=D7,"-",D7-C7)</f>
        <v>-</v>
      </c>
      <c r="F7" s="86">
        <f>IF(C7=0,"-",D7/C7)</f>
        <v>1</v>
      </c>
      <c r="H7" s="118"/>
      <c r="I7" s="118"/>
    </row>
    <row r="8" spans="1:9" ht="31.5" customHeight="1">
      <c r="A8" s="40" t="s">
        <v>1</v>
      </c>
      <c r="B8" s="46" t="s">
        <v>165</v>
      </c>
      <c r="C8" s="36">
        <v>0</v>
      </c>
      <c r="D8" s="36">
        <f>C8</f>
        <v>0</v>
      </c>
      <c r="E8" s="87" t="str">
        <f aca="true" t="shared" si="0" ref="E8:E29">IF(C8=D8,"-",D8-C8)</f>
        <v>-</v>
      </c>
      <c r="F8" s="88" t="str">
        <f aca="true" t="shared" si="1" ref="F8:F46">IF(C8=0,"-",D8/C8)</f>
        <v>-</v>
      </c>
      <c r="H8" s="118"/>
      <c r="I8" s="118"/>
    </row>
    <row r="9" spans="1:19" ht="31.5" customHeight="1">
      <c r="A9" s="40" t="s">
        <v>2</v>
      </c>
      <c r="B9" s="46" t="s">
        <v>166</v>
      </c>
      <c r="C9" s="36">
        <v>0</v>
      </c>
      <c r="D9" s="36">
        <f aca="true" t="shared" si="2" ref="D9:D29">C9</f>
        <v>0</v>
      </c>
      <c r="E9" s="87" t="str">
        <f t="shared" si="0"/>
        <v>-</v>
      </c>
      <c r="F9" s="88" t="str">
        <f t="shared" si="1"/>
        <v>-</v>
      </c>
      <c r="H9" s="118"/>
      <c r="I9" s="118"/>
      <c r="Q9" s="126"/>
      <c r="S9" s="125"/>
    </row>
    <row r="10" spans="1:19" ht="31.5" customHeight="1">
      <c r="A10" s="40" t="s">
        <v>3</v>
      </c>
      <c r="B10" s="46" t="s">
        <v>157</v>
      </c>
      <c r="C10" s="36">
        <v>0</v>
      </c>
      <c r="D10" s="36">
        <f t="shared" si="2"/>
        <v>0</v>
      </c>
      <c r="E10" s="87" t="str">
        <f t="shared" si="0"/>
        <v>-</v>
      </c>
      <c r="F10" s="88" t="str">
        <f t="shared" si="1"/>
        <v>-</v>
      </c>
      <c r="H10" s="118"/>
      <c r="I10" s="118"/>
      <c r="S10" s="125"/>
    </row>
    <row r="11" spans="1:19" ht="31.5" customHeight="1">
      <c r="A11" s="39" t="s">
        <v>64</v>
      </c>
      <c r="B11" s="45" t="s">
        <v>65</v>
      </c>
      <c r="C11" s="36">
        <v>0</v>
      </c>
      <c r="D11" s="36">
        <f>C11</f>
        <v>0</v>
      </c>
      <c r="E11" s="87" t="str">
        <f t="shared" si="0"/>
        <v>-</v>
      </c>
      <c r="F11" s="88" t="str">
        <f t="shared" si="1"/>
        <v>-</v>
      </c>
      <c r="H11" s="118"/>
      <c r="I11" s="118"/>
      <c r="S11" s="125"/>
    </row>
    <row r="12" spans="1:19" ht="31.5" customHeight="1">
      <c r="A12" s="40" t="s">
        <v>4</v>
      </c>
      <c r="B12" s="46" t="s">
        <v>172</v>
      </c>
      <c r="C12" s="36">
        <v>0</v>
      </c>
      <c r="D12" s="36">
        <f t="shared" si="2"/>
        <v>0</v>
      </c>
      <c r="E12" s="87" t="str">
        <f t="shared" si="0"/>
        <v>-</v>
      </c>
      <c r="F12" s="88" t="str">
        <f t="shared" si="1"/>
        <v>-</v>
      </c>
      <c r="H12" s="118"/>
      <c r="I12" s="118"/>
      <c r="S12" s="125"/>
    </row>
    <row r="13" spans="1:19" ht="31.5" customHeight="1">
      <c r="A13" s="40" t="s">
        <v>5</v>
      </c>
      <c r="B13" s="46" t="s">
        <v>167</v>
      </c>
      <c r="C13" s="36">
        <v>0</v>
      </c>
      <c r="D13" s="36">
        <f t="shared" si="2"/>
        <v>0</v>
      </c>
      <c r="E13" s="87" t="str">
        <f t="shared" si="0"/>
        <v>-</v>
      </c>
      <c r="F13" s="88" t="str">
        <f t="shared" si="1"/>
        <v>-</v>
      </c>
      <c r="H13" s="118"/>
      <c r="I13" s="118"/>
      <c r="S13" s="125"/>
    </row>
    <row r="14" spans="1:19" ht="31.5" customHeight="1">
      <c r="A14" s="40" t="s">
        <v>6</v>
      </c>
      <c r="B14" s="46" t="s">
        <v>176</v>
      </c>
      <c r="C14" s="36">
        <v>0</v>
      </c>
      <c r="D14" s="36">
        <f t="shared" si="2"/>
        <v>0</v>
      </c>
      <c r="E14" s="87" t="str">
        <f t="shared" si="0"/>
        <v>-</v>
      </c>
      <c r="F14" s="88" t="str">
        <f t="shared" si="1"/>
        <v>-</v>
      </c>
      <c r="H14" s="118"/>
      <c r="I14" s="118"/>
      <c r="S14" s="125"/>
    </row>
    <row r="15" spans="1:19" ht="31.5" customHeight="1">
      <c r="A15" s="40" t="s">
        <v>7</v>
      </c>
      <c r="B15" s="46" t="s">
        <v>175</v>
      </c>
      <c r="C15" s="36">
        <v>0</v>
      </c>
      <c r="D15" s="36">
        <f>C15</f>
        <v>0</v>
      </c>
      <c r="E15" s="87" t="str">
        <f>IF(C15=D15,"-",D15-C15)</f>
        <v>-</v>
      </c>
      <c r="F15" s="88" t="str">
        <f>IF(C15=0,"-",D15/C15)</f>
        <v>-</v>
      </c>
      <c r="H15" s="118"/>
      <c r="I15" s="118"/>
      <c r="S15" s="125"/>
    </row>
    <row r="16" spans="1:19" ht="31.5" customHeight="1">
      <c r="A16" s="40" t="s">
        <v>8</v>
      </c>
      <c r="B16" s="100" t="s">
        <v>168</v>
      </c>
      <c r="C16" s="36">
        <v>0</v>
      </c>
      <c r="D16" s="36">
        <f t="shared" si="2"/>
        <v>0</v>
      </c>
      <c r="E16" s="87" t="str">
        <f t="shared" si="0"/>
        <v>-</v>
      </c>
      <c r="F16" s="88" t="str">
        <f t="shared" si="1"/>
        <v>-</v>
      </c>
      <c r="H16" s="118"/>
      <c r="I16" s="118"/>
      <c r="S16" s="125"/>
    </row>
    <row r="17" spans="1:19" ht="31.5" customHeight="1">
      <c r="A17" s="40" t="s">
        <v>9</v>
      </c>
      <c r="B17" s="46" t="s">
        <v>169</v>
      </c>
      <c r="C17" s="36">
        <v>0</v>
      </c>
      <c r="D17" s="36">
        <f t="shared" si="2"/>
        <v>0</v>
      </c>
      <c r="E17" s="87" t="str">
        <f t="shared" si="0"/>
        <v>-</v>
      </c>
      <c r="F17" s="88" t="str">
        <f t="shared" si="1"/>
        <v>-</v>
      </c>
      <c r="H17" s="118"/>
      <c r="I17" s="118"/>
      <c r="S17" s="125"/>
    </row>
    <row r="18" spans="1:19" ht="31.5" customHeight="1">
      <c r="A18" s="40" t="s">
        <v>10</v>
      </c>
      <c r="B18" s="46" t="s">
        <v>177</v>
      </c>
      <c r="C18" s="36">
        <v>0</v>
      </c>
      <c r="D18" s="36">
        <f t="shared" si="2"/>
        <v>0</v>
      </c>
      <c r="E18" s="87" t="str">
        <f t="shared" si="0"/>
        <v>-</v>
      </c>
      <c r="F18" s="88" t="str">
        <f t="shared" si="1"/>
        <v>-</v>
      </c>
      <c r="H18" s="118"/>
      <c r="I18" s="118"/>
      <c r="S18" s="125"/>
    </row>
    <row r="19" spans="1:19" ht="46.5" customHeight="1">
      <c r="A19" s="40" t="s">
        <v>11</v>
      </c>
      <c r="B19" s="46" t="s">
        <v>170</v>
      </c>
      <c r="C19" s="36">
        <v>0</v>
      </c>
      <c r="D19" s="36">
        <f t="shared" si="2"/>
        <v>0</v>
      </c>
      <c r="E19" s="87" t="str">
        <f t="shared" si="0"/>
        <v>-</v>
      </c>
      <c r="F19" s="88" t="str">
        <f t="shared" si="1"/>
        <v>-</v>
      </c>
      <c r="H19" s="118"/>
      <c r="I19" s="118"/>
      <c r="S19" s="125"/>
    </row>
    <row r="20" spans="1:19" ht="31.5" customHeight="1">
      <c r="A20" s="40" t="s">
        <v>12</v>
      </c>
      <c r="B20" s="46" t="s">
        <v>171</v>
      </c>
      <c r="C20" s="36">
        <v>0</v>
      </c>
      <c r="D20" s="36">
        <f t="shared" si="2"/>
        <v>0</v>
      </c>
      <c r="E20" s="87" t="str">
        <f t="shared" si="0"/>
        <v>-</v>
      </c>
      <c r="F20" s="88" t="str">
        <f t="shared" si="1"/>
        <v>-</v>
      </c>
      <c r="H20" s="118"/>
      <c r="I20" s="118"/>
      <c r="S20" s="125"/>
    </row>
    <row r="21" spans="1:9" ht="31.5" customHeight="1">
      <c r="A21" s="40" t="s">
        <v>14</v>
      </c>
      <c r="B21" s="46" t="s">
        <v>13</v>
      </c>
      <c r="C21" s="36">
        <v>0</v>
      </c>
      <c r="D21" s="36">
        <f t="shared" si="2"/>
        <v>0</v>
      </c>
      <c r="E21" s="87" t="str">
        <f t="shared" si="0"/>
        <v>-</v>
      </c>
      <c r="F21" s="88" t="str">
        <f t="shared" si="1"/>
        <v>-</v>
      </c>
      <c r="H21" s="118"/>
      <c r="I21" s="118"/>
    </row>
    <row r="22" spans="1:9" ht="31.5" customHeight="1">
      <c r="A22" s="41" t="s">
        <v>15</v>
      </c>
      <c r="B22" s="100" t="s">
        <v>173</v>
      </c>
      <c r="C22" s="36">
        <v>0</v>
      </c>
      <c r="D22" s="36">
        <f t="shared" si="2"/>
        <v>0</v>
      </c>
      <c r="E22" s="87" t="str">
        <f t="shared" si="0"/>
        <v>-</v>
      </c>
      <c r="F22" s="88" t="str">
        <f t="shared" si="1"/>
        <v>-</v>
      </c>
      <c r="H22" s="118"/>
      <c r="I22" s="118"/>
    </row>
    <row r="23" spans="1:9" ht="31.5" customHeight="1">
      <c r="A23" s="39" t="s">
        <v>178</v>
      </c>
      <c r="B23" s="45" t="s">
        <v>66</v>
      </c>
      <c r="C23" s="36">
        <v>0</v>
      </c>
      <c r="D23" s="36">
        <f t="shared" si="2"/>
        <v>0</v>
      </c>
      <c r="E23" s="87" t="str">
        <f t="shared" si="0"/>
        <v>-</v>
      </c>
      <c r="F23" s="88" t="str">
        <f t="shared" si="1"/>
        <v>-</v>
      </c>
      <c r="H23" s="118"/>
      <c r="I23" s="118"/>
    </row>
    <row r="24" spans="1:9" ht="33" customHeight="1">
      <c r="A24" s="42" t="s">
        <v>16</v>
      </c>
      <c r="B24" s="47" t="s">
        <v>140</v>
      </c>
      <c r="C24" s="36">
        <v>416384</v>
      </c>
      <c r="D24" s="36">
        <f t="shared" si="2"/>
        <v>416384</v>
      </c>
      <c r="E24" s="87" t="str">
        <f>IF(C24=D24,"-",D24-C24)</f>
        <v>-</v>
      </c>
      <c r="F24" s="88">
        <f>IF(C24=0,"-",D24/C24)</f>
        <v>1</v>
      </c>
      <c r="H24" s="118"/>
      <c r="I24" s="118"/>
    </row>
    <row r="25" spans="1:9" ht="33" customHeight="1">
      <c r="A25" s="42" t="s">
        <v>137</v>
      </c>
      <c r="B25" s="48" t="s">
        <v>60</v>
      </c>
      <c r="C25" s="112">
        <v>11000</v>
      </c>
      <c r="D25" s="36">
        <f>C25</f>
        <v>11000</v>
      </c>
      <c r="E25" s="87" t="str">
        <f>IF(C25=D25,"-",D25-C25)</f>
        <v>-</v>
      </c>
      <c r="F25" s="88">
        <f>IF(C25=0,"-",D25/C25)</f>
        <v>1</v>
      </c>
      <c r="H25" s="118"/>
      <c r="I25" s="118"/>
    </row>
    <row r="26" spans="1:9" ht="33" customHeight="1">
      <c r="A26" s="42" t="s">
        <v>138</v>
      </c>
      <c r="B26" s="48" t="s">
        <v>141</v>
      </c>
      <c r="C26" s="36">
        <v>0</v>
      </c>
      <c r="D26" s="36">
        <f t="shared" si="2"/>
        <v>0</v>
      </c>
      <c r="E26" s="87" t="str">
        <f>IF(C26=D26,"-",D26-C26)</f>
        <v>-</v>
      </c>
      <c r="F26" s="88" t="str">
        <f>IF(C26=0,"-",D26/C26)</f>
        <v>-</v>
      </c>
      <c r="H26" s="118"/>
      <c r="I26" s="118"/>
    </row>
    <row r="27" spans="1:9" ht="33" customHeight="1">
      <c r="A27" s="42" t="s">
        <v>139</v>
      </c>
      <c r="B27" s="51" t="s">
        <v>142</v>
      </c>
      <c r="C27" s="36">
        <v>0</v>
      </c>
      <c r="D27" s="36">
        <f t="shared" si="2"/>
        <v>0</v>
      </c>
      <c r="E27" s="87" t="str">
        <f>IF(C27=D27,"-",D27-C27)</f>
        <v>-</v>
      </c>
      <c r="F27" s="88" t="str">
        <f>IF(C27=0,"-",D27/C27)</f>
        <v>-</v>
      </c>
      <c r="H27" s="118"/>
      <c r="I27" s="118"/>
    </row>
    <row r="28" spans="1:9" s="5" customFormat="1" ht="31.5" customHeight="1">
      <c r="A28" s="43" t="s">
        <v>68</v>
      </c>
      <c r="B28" s="49" t="s">
        <v>69</v>
      </c>
      <c r="C28" s="113">
        <v>0</v>
      </c>
      <c r="D28" s="115">
        <f>C28</f>
        <v>0</v>
      </c>
      <c r="E28" s="15" t="str">
        <f t="shared" si="0"/>
        <v>-</v>
      </c>
      <c r="F28" s="116" t="str">
        <f t="shared" si="1"/>
        <v>-</v>
      </c>
      <c r="H28" s="118"/>
      <c r="I28" s="118"/>
    </row>
    <row r="29" spans="1:9" s="5" customFormat="1" ht="31.5" customHeight="1">
      <c r="A29" s="43" t="s">
        <v>67</v>
      </c>
      <c r="B29" s="49" t="s">
        <v>70</v>
      </c>
      <c r="C29" s="114">
        <v>0</v>
      </c>
      <c r="D29" s="115">
        <f t="shared" si="2"/>
        <v>0</v>
      </c>
      <c r="E29" s="15" t="str">
        <f t="shared" si="0"/>
        <v>-</v>
      </c>
      <c r="F29" s="116" t="str">
        <f t="shared" si="1"/>
        <v>-</v>
      </c>
      <c r="H29" s="118"/>
      <c r="I29" s="118"/>
    </row>
    <row r="30" spans="1:9" s="3" customFormat="1" ht="30" customHeight="1">
      <c r="A30" s="37" t="s">
        <v>17</v>
      </c>
      <c r="B30" s="57" t="s">
        <v>18</v>
      </c>
      <c r="C30" s="34">
        <f>C31+C32+C33+C41+C42+C48+C49+C50+C47</f>
        <v>176872</v>
      </c>
      <c r="D30" s="34">
        <f>D31+D32+D33+D41+D42+D48+D49+D50+D47</f>
        <v>176872</v>
      </c>
      <c r="E30" s="13" t="str">
        <f>IF(C30=D30,"-",D30-C30)</f>
        <v>-</v>
      </c>
      <c r="F30" s="89">
        <f t="shared" si="1"/>
        <v>1</v>
      </c>
      <c r="H30" s="118"/>
      <c r="I30" s="118"/>
    </row>
    <row r="31" spans="1:9" ht="28.5" customHeight="1">
      <c r="A31" s="42" t="s">
        <v>19</v>
      </c>
      <c r="B31" s="51" t="s">
        <v>20</v>
      </c>
      <c r="C31" s="35">
        <v>3176</v>
      </c>
      <c r="D31" s="35">
        <f>C31</f>
        <v>3176</v>
      </c>
      <c r="E31" s="87" t="str">
        <f aca="true" t="shared" si="3" ref="E31:E51">IF(C31=D31,"-",D31-C31)</f>
        <v>-</v>
      </c>
      <c r="F31" s="88">
        <f t="shared" si="1"/>
        <v>1</v>
      </c>
      <c r="H31" s="118"/>
      <c r="I31" s="118"/>
    </row>
    <row r="32" spans="1:9" ht="28.5" customHeight="1">
      <c r="A32" s="42" t="s">
        <v>21</v>
      </c>
      <c r="B32" s="51" t="s">
        <v>22</v>
      </c>
      <c r="C32" s="35">
        <v>77173</v>
      </c>
      <c r="D32" s="35">
        <f>C32</f>
        <v>77173</v>
      </c>
      <c r="E32" s="87" t="str">
        <f t="shared" si="3"/>
        <v>-</v>
      </c>
      <c r="F32" s="88">
        <f t="shared" si="1"/>
        <v>1</v>
      </c>
      <c r="H32" s="118"/>
      <c r="I32" s="118"/>
    </row>
    <row r="33" spans="1:9" ht="28.5" customHeight="1">
      <c r="A33" s="42" t="s">
        <v>23</v>
      </c>
      <c r="B33" s="51" t="s">
        <v>37</v>
      </c>
      <c r="C33" s="35">
        <v>370</v>
      </c>
      <c r="D33" s="35">
        <f>D34+D36+D37+D38+D39+D40</f>
        <v>370</v>
      </c>
      <c r="E33" s="87" t="str">
        <f t="shared" si="3"/>
        <v>-</v>
      </c>
      <c r="F33" s="88">
        <f t="shared" si="1"/>
        <v>1</v>
      </c>
      <c r="H33" s="118"/>
      <c r="I33" s="118"/>
    </row>
    <row r="34" spans="1:9" ht="28.5" customHeight="1">
      <c r="A34" s="53" t="s">
        <v>45</v>
      </c>
      <c r="B34" s="54" t="s">
        <v>38</v>
      </c>
      <c r="C34" s="35">
        <v>31</v>
      </c>
      <c r="D34" s="35">
        <f aca="true" t="shared" si="4" ref="D34:D50">C34</f>
        <v>31</v>
      </c>
      <c r="E34" s="87" t="str">
        <f t="shared" si="3"/>
        <v>-</v>
      </c>
      <c r="F34" s="88">
        <f t="shared" si="1"/>
        <v>1</v>
      </c>
      <c r="H34" s="118"/>
      <c r="I34" s="118"/>
    </row>
    <row r="35" spans="1:9" ht="28.5" customHeight="1">
      <c r="A35" s="53" t="s">
        <v>46</v>
      </c>
      <c r="B35" s="55" t="s">
        <v>39</v>
      </c>
      <c r="C35" s="35">
        <v>31</v>
      </c>
      <c r="D35" s="35">
        <f t="shared" si="4"/>
        <v>31</v>
      </c>
      <c r="E35" s="87" t="str">
        <f t="shared" si="3"/>
        <v>-</v>
      </c>
      <c r="F35" s="88">
        <f t="shared" si="1"/>
        <v>1</v>
      </c>
      <c r="H35" s="118"/>
      <c r="I35" s="118"/>
    </row>
    <row r="36" spans="1:9" ht="28.5" customHeight="1">
      <c r="A36" s="53" t="s">
        <v>47</v>
      </c>
      <c r="B36" s="54" t="s">
        <v>40</v>
      </c>
      <c r="C36" s="35">
        <v>27</v>
      </c>
      <c r="D36" s="35">
        <f t="shared" si="4"/>
        <v>27</v>
      </c>
      <c r="E36" s="87" t="str">
        <f t="shared" si="3"/>
        <v>-</v>
      </c>
      <c r="F36" s="88">
        <f t="shared" si="1"/>
        <v>1</v>
      </c>
      <c r="H36" s="118"/>
      <c r="I36" s="118"/>
    </row>
    <row r="37" spans="1:9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7" t="str">
        <f t="shared" si="3"/>
        <v>-</v>
      </c>
      <c r="F37" s="88" t="str">
        <f t="shared" si="1"/>
        <v>-</v>
      </c>
      <c r="H37" s="118"/>
      <c r="I37" s="118"/>
    </row>
    <row r="38" spans="1:9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7" t="str">
        <f t="shared" si="3"/>
        <v>-</v>
      </c>
      <c r="F38" s="88" t="str">
        <f t="shared" si="1"/>
        <v>-</v>
      </c>
      <c r="H38" s="118"/>
      <c r="I38" s="118"/>
    </row>
    <row r="39" spans="1:9" ht="28.5" customHeight="1">
      <c r="A39" s="53" t="s">
        <v>50</v>
      </c>
      <c r="B39" s="54" t="s">
        <v>43</v>
      </c>
      <c r="C39" s="35">
        <v>309</v>
      </c>
      <c r="D39" s="35">
        <f t="shared" si="4"/>
        <v>309</v>
      </c>
      <c r="E39" s="87" t="str">
        <f t="shared" si="3"/>
        <v>-</v>
      </c>
      <c r="F39" s="88">
        <f t="shared" si="1"/>
        <v>1</v>
      </c>
      <c r="H39" s="118"/>
      <c r="I39" s="118"/>
    </row>
    <row r="40" spans="1:9" ht="28.5" customHeight="1">
      <c r="A40" s="53" t="s">
        <v>51</v>
      </c>
      <c r="B40" s="54" t="s">
        <v>44</v>
      </c>
      <c r="C40" s="35">
        <v>3</v>
      </c>
      <c r="D40" s="35">
        <f t="shared" si="4"/>
        <v>3</v>
      </c>
      <c r="E40" s="87" t="str">
        <f t="shared" si="3"/>
        <v>-</v>
      </c>
      <c r="F40" s="88">
        <f t="shared" si="1"/>
        <v>1</v>
      </c>
      <c r="H40" s="118"/>
      <c r="I40" s="118"/>
    </row>
    <row r="41" spans="1:11" ht="28.5" customHeight="1">
      <c r="A41" s="42" t="s">
        <v>24</v>
      </c>
      <c r="B41" s="51" t="s">
        <v>25</v>
      </c>
      <c r="C41" s="35">
        <v>30894</v>
      </c>
      <c r="D41" s="35">
        <f t="shared" si="4"/>
        <v>30894</v>
      </c>
      <c r="E41" s="87" t="str">
        <f t="shared" si="3"/>
        <v>-</v>
      </c>
      <c r="F41" s="88">
        <f t="shared" si="1"/>
        <v>1</v>
      </c>
      <c r="H41" s="118"/>
      <c r="I41" s="118"/>
      <c r="K41" s="141"/>
    </row>
    <row r="42" spans="1:9" ht="28.5" customHeight="1">
      <c r="A42" s="42" t="s">
        <v>26</v>
      </c>
      <c r="B42" s="52" t="s">
        <v>61</v>
      </c>
      <c r="C42" s="35">
        <v>7188</v>
      </c>
      <c r="D42" s="35">
        <f>SUM(D43:D46)</f>
        <v>7188</v>
      </c>
      <c r="E42" s="87" t="str">
        <f t="shared" si="3"/>
        <v>-</v>
      </c>
      <c r="F42" s="88">
        <f t="shared" si="1"/>
        <v>1</v>
      </c>
      <c r="H42" s="118"/>
      <c r="I42" s="118"/>
    </row>
    <row r="43" spans="1:9" ht="28.5" customHeight="1">
      <c r="A43" s="53" t="s">
        <v>56</v>
      </c>
      <c r="B43" s="54" t="s">
        <v>52</v>
      </c>
      <c r="C43" s="35">
        <v>4675</v>
      </c>
      <c r="D43" s="35">
        <f t="shared" si="4"/>
        <v>4675</v>
      </c>
      <c r="E43" s="87" t="str">
        <f t="shared" si="3"/>
        <v>-</v>
      </c>
      <c r="F43" s="88">
        <f t="shared" si="1"/>
        <v>1</v>
      </c>
      <c r="H43" s="118"/>
      <c r="I43" s="118"/>
    </row>
    <row r="44" spans="1:9" ht="28.5" customHeight="1">
      <c r="A44" s="53" t="s">
        <v>57</v>
      </c>
      <c r="B44" s="54" t="s">
        <v>53</v>
      </c>
      <c r="C44" s="35">
        <v>755</v>
      </c>
      <c r="D44" s="35">
        <f t="shared" si="4"/>
        <v>755</v>
      </c>
      <c r="E44" s="87" t="str">
        <f t="shared" si="3"/>
        <v>-</v>
      </c>
      <c r="F44" s="88">
        <f t="shared" si="1"/>
        <v>1</v>
      </c>
      <c r="H44" s="118"/>
      <c r="I44" s="118"/>
    </row>
    <row r="45" spans="1:9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7" t="str">
        <f t="shared" si="3"/>
        <v>-</v>
      </c>
      <c r="F45" s="88" t="str">
        <f t="shared" si="1"/>
        <v>-</v>
      </c>
      <c r="H45" s="118"/>
      <c r="I45" s="118"/>
    </row>
    <row r="46" spans="1:9" ht="28.5" customHeight="1">
      <c r="A46" s="53" t="s">
        <v>59</v>
      </c>
      <c r="B46" s="54" t="s">
        <v>55</v>
      </c>
      <c r="C46" s="35">
        <v>1758</v>
      </c>
      <c r="D46" s="35">
        <f t="shared" si="4"/>
        <v>1758</v>
      </c>
      <c r="E46" s="87" t="str">
        <f t="shared" si="3"/>
        <v>-</v>
      </c>
      <c r="F46" s="88">
        <f t="shared" si="1"/>
        <v>1</v>
      </c>
      <c r="H46" s="118"/>
      <c r="I46" s="118"/>
    </row>
    <row r="47" spans="1:9" ht="28.5" customHeight="1">
      <c r="A47" s="42" t="s">
        <v>27</v>
      </c>
      <c r="B47" s="51" t="s">
        <v>28</v>
      </c>
      <c r="C47" s="35">
        <v>200</v>
      </c>
      <c r="D47" s="35">
        <f t="shared" si="4"/>
        <v>200</v>
      </c>
      <c r="E47" s="87" t="str">
        <f t="shared" si="3"/>
        <v>-</v>
      </c>
      <c r="F47" s="88">
        <f aca="true" t="shared" si="5" ref="F47:F56">IF(C47=0,"-",D47/C47)</f>
        <v>1</v>
      </c>
      <c r="H47" s="118"/>
      <c r="I47" s="118"/>
    </row>
    <row r="48" spans="1:9" ht="48" customHeight="1">
      <c r="A48" s="42" t="s">
        <v>29</v>
      </c>
      <c r="B48" s="51" t="s">
        <v>116</v>
      </c>
      <c r="C48" s="112">
        <v>55724</v>
      </c>
      <c r="D48" s="35">
        <f t="shared" si="4"/>
        <v>55724</v>
      </c>
      <c r="E48" s="87" t="str">
        <f t="shared" si="3"/>
        <v>-</v>
      </c>
      <c r="F48" s="90">
        <f t="shared" si="5"/>
        <v>1</v>
      </c>
      <c r="H48" s="118"/>
      <c r="I48" s="118"/>
    </row>
    <row r="49" spans="1:9" ht="43.5" customHeight="1">
      <c r="A49" s="42" t="s">
        <v>30</v>
      </c>
      <c r="B49" s="51" t="s">
        <v>31</v>
      </c>
      <c r="C49" s="112">
        <v>582</v>
      </c>
      <c r="D49" s="35">
        <f t="shared" si="4"/>
        <v>582</v>
      </c>
      <c r="E49" s="87" t="str">
        <f t="shared" si="3"/>
        <v>-</v>
      </c>
      <c r="F49" s="90">
        <f t="shared" si="5"/>
        <v>1</v>
      </c>
      <c r="H49" s="118"/>
      <c r="I49" s="118"/>
    </row>
    <row r="50" spans="1:9" ht="35.25" customHeight="1">
      <c r="A50" s="42" t="s">
        <v>32</v>
      </c>
      <c r="B50" s="51" t="s">
        <v>33</v>
      </c>
      <c r="C50" s="35">
        <v>1565</v>
      </c>
      <c r="D50" s="35">
        <f t="shared" si="4"/>
        <v>1565</v>
      </c>
      <c r="E50" s="87" t="str">
        <f t="shared" si="3"/>
        <v>-</v>
      </c>
      <c r="F50" s="88">
        <f t="shared" si="5"/>
        <v>1</v>
      </c>
      <c r="H50" s="118"/>
      <c r="I50" s="118"/>
    </row>
    <row r="51" spans="1:9" s="3" customFormat="1" ht="30" customHeight="1">
      <c r="A51" s="44" t="s">
        <v>34</v>
      </c>
      <c r="B51" s="56" t="s">
        <v>174</v>
      </c>
      <c r="C51" s="38">
        <f>SUM(C52:C55)</f>
        <v>81482</v>
      </c>
      <c r="D51" s="38">
        <f>SUM(D52:D55)</f>
        <v>101033</v>
      </c>
      <c r="E51" s="13">
        <f t="shared" si="3"/>
        <v>19551</v>
      </c>
      <c r="F51" s="105">
        <f t="shared" si="5"/>
        <v>1.2399</v>
      </c>
      <c r="H51" s="118"/>
      <c r="I51" s="118"/>
    </row>
    <row r="52" spans="1:9" ht="42" customHeight="1">
      <c r="A52" s="42" t="s">
        <v>119</v>
      </c>
      <c r="B52" s="51" t="s">
        <v>144</v>
      </c>
      <c r="C52" s="35">
        <f>80000+610</f>
        <v>80610</v>
      </c>
      <c r="D52" s="35">
        <f>C52</f>
        <v>80610</v>
      </c>
      <c r="E52" s="92" t="str">
        <f>IF(C52=D52,"-",D52-C52)</f>
        <v>-</v>
      </c>
      <c r="F52" s="88">
        <f t="shared" si="5"/>
        <v>1</v>
      </c>
      <c r="H52" s="118"/>
      <c r="I52" s="118"/>
    </row>
    <row r="53" spans="1:9" ht="31.5" customHeight="1">
      <c r="A53" s="42" t="s">
        <v>35</v>
      </c>
      <c r="B53" s="51" t="s">
        <v>63</v>
      </c>
      <c r="C53" s="35">
        <v>600</v>
      </c>
      <c r="D53" s="35">
        <f>C53+900</f>
        <v>1500</v>
      </c>
      <c r="E53" s="92">
        <f>IF(C53=D53,"-",D53-C53)</f>
        <v>900</v>
      </c>
      <c r="F53" s="88">
        <f t="shared" si="5"/>
        <v>2.5</v>
      </c>
      <c r="H53" s="118"/>
      <c r="I53" s="118"/>
    </row>
    <row r="54" spans="1:9" ht="31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2" t="str">
        <f>IF(C54=D54,"-",D54-C54)</f>
        <v>-</v>
      </c>
      <c r="F54" s="88" t="str">
        <f t="shared" si="5"/>
        <v>-</v>
      </c>
      <c r="H54" s="118"/>
      <c r="I54" s="118"/>
    </row>
    <row r="55" spans="1:9" ht="31.5" customHeight="1">
      <c r="A55" s="42" t="s">
        <v>120</v>
      </c>
      <c r="B55" s="51" t="s">
        <v>122</v>
      </c>
      <c r="C55" s="106">
        <v>272</v>
      </c>
      <c r="D55" s="35">
        <f>C55+18651</f>
        <v>18923</v>
      </c>
      <c r="E55" s="92">
        <f>IF(C55=D55,"-",D55-C55)</f>
        <v>18651</v>
      </c>
      <c r="F55" s="88">
        <f t="shared" si="5"/>
        <v>69.5699</v>
      </c>
      <c r="H55" s="118"/>
      <c r="I55" s="118"/>
    </row>
    <row r="56" spans="1:9" ht="32.25" customHeight="1">
      <c r="A56" s="44" t="s">
        <v>127</v>
      </c>
      <c r="B56" s="56" t="s">
        <v>154</v>
      </c>
      <c r="C56" s="38">
        <v>30126</v>
      </c>
      <c r="D56" s="38">
        <f>C56</f>
        <v>30126</v>
      </c>
      <c r="E56" s="13" t="str">
        <f>IF(C56=D56,"-",D56-C56)</f>
        <v>-</v>
      </c>
      <c r="F56" s="91">
        <f t="shared" si="5"/>
        <v>1</v>
      </c>
      <c r="H56" s="118"/>
      <c r="I56" s="118"/>
    </row>
    <row r="72" ht="54" customHeight="1"/>
    <row r="74" ht="12.75">
      <c r="D74" s="2" t="s">
        <v>202</v>
      </c>
    </row>
  </sheetData>
  <sheetProtection/>
  <mergeCells count="8">
    <mergeCell ref="A1:F1"/>
    <mergeCell ref="E4:E5"/>
    <mergeCell ref="F4:F5"/>
    <mergeCell ref="C4:C5"/>
    <mergeCell ref="A2:C2"/>
    <mergeCell ref="A4:A5"/>
    <mergeCell ref="B4:B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3"/>
  <headerFooter alignWithMargins="0">
    <oddFooter>&amp;R&amp;20&amp;P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V55"/>
  <sheetViews>
    <sheetView view="pageBreakPreview" zoomScale="60" zoomScaleNormal="70" zoomScalePageLayoutView="0" workbookViewId="0" topLeftCell="A1">
      <pane xSplit="2" ySplit="1" topLeftCell="D2" activePane="bottomRight" state="frozen"/>
      <selection pane="topLeft" activeCell="D7" sqref="D7:D31"/>
      <selection pane="topRight" activeCell="D7" sqref="D7:D31"/>
      <selection pane="bottomLeft" activeCell="D7" sqref="D7:D31"/>
      <selection pane="bottomRight" activeCell="A3" sqref="A3:IV3"/>
    </sheetView>
  </sheetViews>
  <sheetFormatPr defaultColWidth="9.00390625" defaultRowHeight="12.75"/>
  <cols>
    <col min="1" max="1" width="9.125" style="2" customWidth="1"/>
    <col min="2" max="2" width="86.25390625" style="2" customWidth="1"/>
    <col min="3" max="3" width="12.75390625" style="2" bestFit="1" customWidth="1"/>
    <col min="4" max="4" width="10.75390625" style="136" customWidth="1"/>
    <col min="5" max="20" width="10.75390625" style="2" customWidth="1"/>
    <col min="21" max="16384" width="9.125" style="2" customWidth="1"/>
  </cols>
  <sheetData>
    <row r="1" spans="1:18" s="59" customFormat="1" ht="23.25">
      <c r="A1" s="166"/>
      <c r="B1" s="166"/>
      <c r="C1" s="166"/>
      <c r="D1" s="166"/>
      <c r="E1" s="166"/>
      <c r="F1" s="166"/>
      <c r="R1" s="59" t="s">
        <v>202</v>
      </c>
    </row>
    <row r="2" spans="1:3" s="60" customFormat="1" ht="28.5" customHeight="1">
      <c r="A2" s="142"/>
      <c r="B2" s="142"/>
      <c r="C2" s="119"/>
    </row>
    <row r="3" spans="1:6" ht="24.75">
      <c r="A3" s="1"/>
      <c r="B3" s="85"/>
      <c r="C3" s="30"/>
      <c r="D3" s="30"/>
      <c r="E3" s="30"/>
      <c r="F3" s="30"/>
    </row>
    <row r="4" spans="1:20" s="120" customFormat="1" ht="144.75">
      <c r="A4" s="147" t="s">
        <v>164</v>
      </c>
      <c r="B4" s="147" t="s">
        <v>62</v>
      </c>
      <c r="C4" s="148" t="s">
        <v>203</v>
      </c>
      <c r="D4" s="148" t="s">
        <v>204</v>
      </c>
      <c r="E4" s="148" t="s">
        <v>205</v>
      </c>
      <c r="F4" s="148" t="s">
        <v>206</v>
      </c>
      <c r="G4" s="149" t="s">
        <v>207</v>
      </c>
      <c r="H4" s="148" t="s">
        <v>208</v>
      </c>
      <c r="I4" s="148" t="s">
        <v>209</v>
      </c>
      <c r="J4" s="148" t="s">
        <v>210</v>
      </c>
      <c r="K4" s="148" t="s">
        <v>211</v>
      </c>
      <c r="L4" s="148" t="s">
        <v>212</v>
      </c>
      <c r="M4" s="148" t="s">
        <v>213</v>
      </c>
      <c r="N4" s="148" t="s">
        <v>214</v>
      </c>
      <c r="O4" s="148" t="s">
        <v>215</v>
      </c>
      <c r="P4" s="148" t="s">
        <v>216</v>
      </c>
      <c r="Q4" s="148" t="s">
        <v>217</v>
      </c>
      <c r="R4" s="148" t="s">
        <v>218</v>
      </c>
      <c r="S4" s="148" t="s">
        <v>219</v>
      </c>
      <c r="T4" s="148" t="s">
        <v>220</v>
      </c>
    </row>
    <row r="5" spans="1:20" s="122" customFormat="1" ht="12">
      <c r="A5" s="121" t="s">
        <v>221</v>
      </c>
      <c r="B5" s="121" t="s">
        <v>222</v>
      </c>
      <c r="C5" s="121" t="s">
        <v>223</v>
      </c>
      <c r="D5" s="121" t="s">
        <v>223</v>
      </c>
      <c r="E5" s="121" t="s">
        <v>224</v>
      </c>
      <c r="F5" s="121" t="s">
        <v>225</v>
      </c>
      <c r="G5" s="121" t="s">
        <v>226</v>
      </c>
      <c r="H5" s="121" t="s">
        <v>227</v>
      </c>
      <c r="I5" s="121" t="s">
        <v>228</v>
      </c>
      <c r="J5" s="121" t="s">
        <v>229</v>
      </c>
      <c r="K5" s="121" t="s">
        <v>230</v>
      </c>
      <c r="L5" s="121" t="s">
        <v>231</v>
      </c>
      <c r="M5" s="121" t="s">
        <v>232</v>
      </c>
      <c r="N5" s="121" t="s">
        <v>233</v>
      </c>
      <c r="O5" s="121" t="s">
        <v>234</v>
      </c>
      <c r="P5" s="121" t="s">
        <v>235</v>
      </c>
      <c r="Q5" s="121" t="s">
        <v>236</v>
      </c>
      <c r="R5" s="121" t="s">
        <v>237</v>
      </c>
      <c r="S5" s="121" t="s">
        <v>238</v>
      </c>
      <c r="T5" s="121" t="s">
        <v>239</v>
      </c>
    </row>
    <row r="6" spans="1:20" s="3" customFormat="1" ht="22.5" hidden="1">
      <c r="A6" s="33" t="s">
        <v>0</v>
      </c>
      <c r="B6" s="50" t="s">
        <v>143</v>
      </c>
      <c r="C6" s="140" t="str">
        <f>CENTRALA!E7</f>
        <v>-</v>
      </c>
      <c r="D6" s="140">
        <f>D7+D8+D9+D11+D12+D13+D14+D15+D16+D17+D18+D19+D20+D21+D23+D24+D25+D26</f>
        <v>0</v>
      </c>
      <c r="E6" s="140" t="str">
        <f>Dolnośląski!E7</f>
        <v>-</v>
      </c>
      <c r="F6" s="140" t="str">
        <f>KujawskoPomorski!E7</f>
        <v>-</v>
      </c>
      <c r="G6" s="140" t="str">
        <f>Lubelski!E7</f>
        <v>-</v>
      </c>
      <c r="H6" s="140" t="str">
        <f>Lubuski!E7</f>
        <v>-</v>
      </c>
      <c r="I6" s="140" t="str">
        <f>Łódzki!E7</f>
        <v>-</v>
      </c>
      <c r="J6" s="140" t="str">
        <f>Małopolski!E7</f>
        <v>-</v>
      </c>
      <c r="K6" s="140" t="str">
        <f>Mazowiecki!E7</f>
        <v>-</v>
      </c>
      <c r="L6" s="140" t="str">
        <f>Opolski!E7</f>
        <v>-</v>
      </c>
      <c r="M6" s="140" t="str">
        <f>Podkarpacki!E7</f>
        <v>-</v>
      </c>
      <c r="N6" s="140" t="str">
        <f>Podlaski!E7</f>
        <v>-</v>
      </c>
      <c r="O6" s="140" t="str">
        <f>Pomorski!E7</f>
        <v>-</v>
      </c>
      <c r="P6" s="140" t="str">
        <f>Śląski!E7</f>
        <v>-</v>
      </c>
      <c r="Q6" s="140" t="str">
        <f>Świętokrzyski!E7</f>
        <v>-</v>
      </c>
      <c r="R6" s="140" t="str">
        <f>WarmińskoMazurski!E7</f>
        <v>-</v>
      </c>
      <c r="S6" s="140" t="str">
        <f>Wielkopolski!E7</f>
        <v>-</v>
      </c>
      <c r="T6" s="140" t="str">
        <f>Zachodniopomorski!E7</f>
        <v>-</v>
      </c>
    </row>
    <row r="7" spans="1:20" ht="22.5" hidden="1">
      <c r="A7" s="40" t="s">
        <v>1</v>
      </c>
      <c r="B7" s="100" t="s">
        <v>165</v>
      </c>
      <c r="C7" s="139" t="str">
        <f>CENTRALA!E8</f>
        <v>-</v>
      </c>
      <c r="D7" s="135">
        <f>SUM(E7:T7)</f>
        <v>0</v>
      </c>
      <c r="E7" s="139" t="str">
        <f>Dolnośląski!E8</f>
        <v>-</v>
      </c>
      <c r="F7" s="139" t="str">
        <f>KujawskoPomorski!E8</f>
        <v>-</v>
      </c>
      <c r="G7" s="139" t="str">
        <f>Lubelski!E8</f>
        <v>-</v>
      </c>
      <c r="H7" s="139" t="str">
        <f>Lubuski!E8</f>
        <v>-</v>
      </c>
      <c r="I7" s="139" t="str">
        <f>Łódzki!E8</f>
        <v>-</v>
      </c>
      <c r="J7" s="139" t="str">
        <f>Małopolski!E8</f>
        <v>-</v>
      </c>
      <c r="K7" s="139" t="str">
        <f>Mazowiecki!E8</f>
        <v>-</v>
      </c>
      <c r="L7" s="139" t="str">
        <f>Opolski!E8</f>
        <v>-</v>
      </c>
      <c r="M7" s="139" t="str">
        <f>Podkarpacki!E8</f>
        <v>-</v>
      </c>
      <c r="N7" s="139" t="str">
        <f>Podlaski!E8</f>
        <v>-</v>
      </c>
      <c r="O7" s="139" t="str">
        <f>Pomorski!E8</f>
        <v>-</v>
      </c>
      <c r="P7" s="139" t="str">
        <f>Śląski!E8</f>
        <v>-</v>
      </c>
      <c r="Q7" s="139" t="str">
        <f>Świętokrzyski!E8</f>
        <v>-</v>
      </c>
      <c r="R7" s="139" t="str">
        <f>WarmińskoMazurski!E8</f>
        <v>-</v>
      </c>
      <c r="S7" s="139" t="str">
        <f>Wielkopolski!E8</f>
        <v>-</v>
      </c>
      <c r="T7" s="139" t="str">
        <f>Zachodniopomorski!E8</f>
        <v>-</v>
      </c>
    </row>
    <row r="8" spans="1:20" ht="22.5" hidden="1">
      <c r="A8" s="40" t="s">
        <v>2</v>
      </c>
      <c r="B8" s="100" t="s">
        <v>166</v>
      </c>
      <c r="C8" s="139" t="str">
        <f>CENTRALA!E9</f>
        <v>-</v>
      </c>
      <c r="D8" s="135">
        <f aca="true" t="shared" si="0" ref="D8:D49">SUM(E8:T8)</f>
        <v>0</v>
      </c>
      <c r="E8" s="139" t="str">
        <f>Dolnośląski!E9</f>
        <v>-</v>
      </c>
      <c r="F8" s="139" t="str">
        <f>KujawskoPomorski!E9</f>
        <v>-</v>
      </c>
      <c r="G8" s="139" t="str">
        <f>Lubelski!E9</f>
        <v>-</v>
      </c>
      <c r="H8" s="139" t="str">
        <f>Lubuski!E9</f>
        <v>-</v>
      </c>
      <c r="I8" s="139" t="str">
        <f>Łódzki!E9</f>
        <v>-</v>
      </c>
      <c r="J8" s="139" t="str">
        <f>Małopolski!E9</f>
        <v>-</v>
      </c>
      <c r="K8" s="139" t="str">
        <f>Mazowiecki!E9</f>
        <v>-</v>
      </c>
      <c r="L8" s="139" t="str">
        <f>Opolski!E9</f>
        <v>-</v>
      </c>
      <c r="M8" s="139" t="str">
        <f>Podkarpacki!E9</f>
        <v>-</v>
      </c>
      <c r="N8" s="139" t="str">
        <f>Podlaski!E9</f>
        <v>-</v>
      </c>
      <c r="O8" s="139" t="str">
        <f>Pomorski!E9</f>
        <v>-</v>
      </c>
      <c r="P8" s="139" t="str">
        <f>Śląski!E9</f>
        <v>-</v>
      </c>
      <c r="Q8" s="139" t="str">
        <f>Świętokrzyski!E9</f>
        <v>-</v>
      </c>
      <c r="R8" s="139" t="str">
        <f>WarmińskoMazurski!E9</f>
        <v>-</v>
      </c>
      <c r="S8" s="139" t="str">
        <f>Wielkopolski!E9</f>
        <v>-</v>
      </c>
      <c r="T8" s="139" t="str">
        <f>Zachodniopomorski!E9</f>
        <v>-</v>
      </c>
    </row>
    <row r="9" spans="1:20" ht="22.5" hidden="1">
      <c r="A9" s="40" t="s">
        <v>3</v>
      </c>
      <c r="B9" s="100" t="s">
        <v>157</v>
      </c>
      <c r="C9" s="139" t="str">
        <f>CENTRALA!E10</f>
        <v>-</v>
      </c>
      <c r="D9" s="135">
        <f t="shared" si="0"/>
        <v>0</v>
      </c>
      <c r="E9" s="139" t="str">
        <f>Dolnośląski!E10</f>
        <v>-</v>
      </c>
      <c r="F9" s="139" t="str">
        <f>KujawskoPomorski!E10</f>
        <v>-</v>
      </c>
      <c r="G9" s="139" t="str">
        <f>Lubelski!E10</f>
        <v>-</v>
      </c>
      <c r="H9" s="139" t="str">
        <f>Lubuski!E10</f>
        <v>-</v>
      </c>
      <c r="I9" s="139" t="str">
        <f>Łódzki!E10</f>
        <v>-</v>
      </c>
      <c r="J9" s="139" t="str">
        <f>Małopolski!E10</f>
        <v>-</v>
      </c>
      <c r="K9" s="139" t="str">
        <f>Mazowiecki!E10</f>
        <v>-</v>
      </c>
      <c r="L9" s="139" t="str">
        <f>Opolski!E10</f>
        <v>-</v>
      </c>
      <c r="M9" s="139" t="str">
        <f>Podkarpacki!E10</f>
        <v>-</v>
      </c>
      <c r="N9" s="139" t="str">
        <f>Podlaski!E10</f>
        <v>-</v>
      </c>
      <c r="O9" s="139" t="str">
        <f>Pomorski!E10</f>
        <v>-</v>
      </c>
      <c r="P9" s="139" t="str">
        <f>Śląski!E10</f>
        <v>-</v>
      </c>
      <c r="Q9" s="139" t="str">
        <f>Świętokrzyski!E10</f>
        <v>-</v>
      </c>
      <c r="R9" s="139" t="str">
        <f>WarmińskoMazurski!E10</f>
        <v>-</v>
      </c>
      <c r="S9" s="139" t="str">
        <f>Wielkopolski!E10</f>
        <v>-</v>
      </c>
      <c r="T9" s="139" t="str">
        <f>Zachodniopomorski!E10</f>
        <v>-</v>
      </c>
    </row>
    <row r="10" spans="1:20" ht="22.5" hidden="1">
      <c r="A10" s="101" t="s">
        <v>64</v>
      </c>
      <c r="B10" s="45" t="s">
        <v>65</v>
      </c>
      <c r="C10" s="139" t="str">
        <f>CENTRALA!E11</f>
        <v>-</v>
      </c>
      <c r="D10" s="135">
        <f t="shared" si="0"/>
        <v>0</v>
      </c>
      <c r="E10" s="139" t="str">
        <f>Dolnośląski!E11</f>
        <v>-</v>
      </c>
      <c r="F10" s="139" t="str">
        <f>KujawskoPomorski!E11</f>
        <v>-</v>
      </c>
      <c r="G10" s="139" t="str">
        <f>Lubelski!E11</f>
        <v>-</v>
      </c>
      <c r="H10" s="139" t="str">
        <f>Lubuski!E11</f>
        <v>-</v>
      </c>
      <c r="I10" s="139" t="str">
        <f>Łódzki!E11</f>
        <v>-</v>
      </c>
      <c r="J10" s="139" t="str">
        <f>Małopolski!E11</f>
        <v>-</v>
      </c>
      <c r="K10" s="139" t="str">
        <f>Mazowiecki!E11</f>
        <v>-</v>
      </c>
      <c r="L10" s="139" t="str">
        <f>Opolski!E11</f>
        <v>-</v>
      </c>
      <c r="M10" s="139" t="str">
        <f>Podkarpacki!E11</f>
        <v>-</v>
      </c>
      <c r="N10" s="139" t="str">
        <f>Podlaski!E11</f>
        <v>-</v>
      </c>
      <c r="O10" s="139" t="str">
        <f>Pomorski!E11</f>
        <v>-</v>
      </c>
      <c r="P10" s="139" t="str">
        <f>Śląski!E11</f>
        <v>-</v>
      </c>
      <c r="Q10" s="139" t="str">
        <f>Świętokrzyski!E11</f>
        <v>-</v>
      </c>
      <c r="R10" s="139" t="str">
        <f>WarmińskoMazurski!E11</f>
        <v>-</v>
      </c>
      <c r="S10" s="139" t="str">
        <f>Wielkopolski!E11</f>
        <v>-</v>
      </c>
      <c r="T10" s="139" t="str">
        <f>Zachodniopomorski!E11</f>
        <v>-</v>
      </c>
    </row>
    <row r="11" spans="1:20" ht="22.5" hidden="1">
      <c r="A11" s="40" t="s">
        <v>4</v>
      </c>
      <c r="B11" s="100" t="s">
        <v>172</v>
      </c>
      <c r="C11" s="139" t="str">
        <f>CENTRALA!E12</f>
        <v>-</v>
      </c>
      <c r="D11" s="135">
        <f t="shared" si="0"/>
        <v>0</v>
      </c>
      <c r="E11" s="139" t="str">
        <f>Dolnośląski!E12</f>
        <v>-</v>
      </c>
      <c r="F11" s="139" t="str">
        <f>KujawskoPomorski!E12</f>
        <v>-</v>
      </c>
      <c r="G11" s="139" t="str">
        <f>Lubelski!E12</f>
        <v>-</v>
      </c>
      <c r="H11" s="139" t="str">
        <f>Lubuski!E12</f>
        <v>-</v>
      </c>
      <c r="I11" s="139" t="str">
        <f>Łódzki!E12</f>
        <v>-</v>
      </c>
      <c r="J11" s="139" t="str">
        <f>Małopolski!E12</f>
        <v>-</v>
      </c>
      <c r="K11" s="139" t="str">
        <f>Mazowiecki!E12</f>
        <v>-</v>
      </c>
      <c r="L11" s="139" t="str">
        <f>Opolski!E12</f>
        <v>-</v>
      </c>
      <c r="M11" s="139" t="str">
        <f>Podkarpacki!E12</f>
        <v>-</v>
      </c>
      <c r="N11" s="139" t="str">
        <f>Podlaski!E12</f>
        <v>-</v>
      </c>
      <c r="O11" s="139" t="str">
        <f>Pomorski!E12</f>
        <v>-</v>
      </c>
      <c r="P11" s="139" t="str">
        <f>Śląski!E12</f>
        <v>-</v>
      </c>
      <c r="Q11" s="139" t="str">
        <f>Świętokrzyski!E12</f>
        <v>-</v>
      </c>
      <c r="R11" s="139" t="str">
        <f>WarmińskoMazurski!E12</f>
        <v>-</v>
      </c>
      <c r="S11" s="139" t="str">
        <f>Wielkopolski!E12</f>
        <v>-</v>
      </c>
      <c r="T11" s="139" t="str">
        <f>Zachodniopomorski!E12</f>
        <v>-</v>
      </c>
    </row>
    <row r="12" spans="1:20" ht="22.5" hidden="1">
      <c r="A12" s="40" t="s">
        <v>5</v>
      </c>
      <c r="B12" s="100" t="s">
        <v>167</v>
      </c>
      <c r="C12" s="139" t="str">
        <f>CENTRALA!E13</f>
        <v>-</v>
      </c>
      <c r="D12" s="135">
        <f t="shared" si="0"/>
        <v>0</v>
      </c>
      <c r="E12" s="139" t="str">
        <f>Dolnośląski!E13</f>
        <v>-</v>
      </c>
      <c r="F12" s="139" t="str">
        <f>KujawskoPomorski!E13</f>
        <v>-</v>
      </c>
      <c r="G12" s="139" t="str">
        <f>Lubelski!E13</f>
        <v>-</v>
      </c>
      <c r="H12" s="139" t="str">
        <f>Lubuski!E13</f>
        <v>-</v>
      </c>
      <c r="I12" s="139" t="str">
        <f>Łódzki!E13</f>
        <v>-</v>
      </c>
      <c r="J12" s="139" t="str">
        <f>Małopolski!E13</f>
        <v>-</v>
      </c>
      <c r="K12" s="139" t="str">
        <f>Mazowiecki!E13</f>
        <v>-</v>
      </c>
      <c r="L12" s="139" t="str">
        <f>Opolski!E13</f>
        <v>-</v>
      </c>
      <c r="M12" s="139" t="str">
        <f>Podkarpacki!E13</f>
        <v>-</v>
      </c>
      <c r="N12" s="139" t="str">
        <f>Podlaski!E13</f>
        <v>-</v>
      </c>
      <c r="O12" s="139" t="str">
        <f>Pomorski!E13</f>
        <v>-</v>
      </c>
      <c r="P12" s="139" t="str">
        <f>Śląski!E13</f>
        <v>-</v>
      </c>
      <c r="Q12" s="139" t="str">
        <f>Świętokrzyski!E13</f>
        <v>-</v>
      </c>
      <c r="R12" s="139" t="str">
        <f>WarmińskoMazurski!E13</f>
        <v>-</v>
      </c>
      <c r="S12" s="139" t="str">
        <f>Wielkopolski!E13</f>
        <v>-</v>
      </c>
      <c r="T12" s="139" t="str">
        <f>Zachodniopomorski!E13</f>
        <v>-</v>
      </c>
    </row>
    <row r="13" spans="1:20" ht="40.5" hidden="1">
      <c r="A13" s="40" t="s">
        <v>6</v>
      </c>
      <c r="B13" s="100" t="s">
        <v>176</v>
      </c>
      <c r="C13" s="139" t="str">
        <f>CENTRALA!E14</f>
        <v>-</v>
      </c>
      <c r="D13" s="135">
        <f t="shared" si="0"/>
        <v>0</v>
      </c>
      <c r="E13" s="139" t="str">
        <f>Dolnośląski!E14</f>
        <v>-</v>
      </c>
      <c r="F13" s="139" t="str">
        <f>KujawskoPomorski!E14</f>
        <v>-</v>
      </c>
      <c r="G13" s="139" t="str">
        <f>Lubelski!E14</f>
        <v>-</v>
      </c>
      <c r="H13" s="139" t="str">
        <f>Lubuski!E14</f>
        <v>-</v>
      </c>
      <c r="I13" s="139" t="str">
        <f>Łódzki!E14</f>
        <v>-</v>
      </c>
      <c r="J13" s="139" t="str">
        <f>Małopolski!E14</f>
        <v>-</v>
      </c>
      <c r="K13" s="139" t="str">
        <f>Mazowiecki!E14</f>
        <v>-</v>
      </c>
      <c r="L13" s="139" t="str">
        <f>Opolski!E14</f>
        <v>-</v>
      </c>
      <c r="M13" s="139" t="str">
        <f>Podkarpacki!E14</f>
        <v>-</v>
      </c>
      <c r="N13" s="139" t="str">
        <f>Podlaski!E14</f>
        <v>-</v>
      </c>
      <c r="O13" s="139" t="str">
        <f>Pomorski!E14</f>
        <v>-</v>
      </c>
      <c r="P13" s="139" t="str">
        <f>Śląski!E14</f>
        <v>-</v>
      </c>
      <c r="Q13" s="139" t="str">
        <f>Świętokrzyski!E14</f>
        <v>-</v>
      </c>
      <c r="R13" s="139" t="str">
        <f>WarmińskoMazurski!E14</f>
        <v>-</v>
      </c>
      <c r="S13" s="139" t="str">
        <f>Wielkopolski!E14</f>
        <v>-</v>
      </c>
      <c r="T13" s="139" t="str">
        <f>Zachodniopomorski!E14</f>
        <v>-</v>
      </c>
    </row>
    <row r="14" spans="1:20" ht="22.5" hidden="1">
      <c r="A14" s="40" t="s">
        <v>7</v>
      </c>
      <c r="B14" s="100" t="s">
        <v>175</v>
      </c>
      <c r="C14" s="139" t="str">
        <f>CENTRALA!E15</f>
        <v>-</v>
      </c>
      <c r="D14" s="135">
        <f t="shared" si="0"/>
        <v>0</v>
      </c>
      <c r="E14" s="139" t="str">
        <f>Dolnośląski!E15</f>
        <v>-</v>
      </c>
      <c r="F14" s="139" t="str">
        <f>KujawskoPomorski!E15</f>
        <v>-</v>
      </c>
      <c r="G14" s="139" t="str">
        <f>Lubelski!E15</f>
        <v>-</v>
      </c>
      <c r="H14" s="139" t="str">
        <f>Lubuski!E15</f>
        <v>-</v>
      </c>
      <c r="I14" s="139" t="str">
        <f>Łódzki!E15</f>
        <v>-</v>
      </c>
      <c r="J14" s="139" t="str">
        <f>Małopolski!E15</f>
        <v>-</v>
      </c>
      <c r="K14" s="139" t="str">
        <f>Mazowiecki!E15</f>
        <v>-</v>
      </c>
      <c r="L14" s="139" t="str">
        <f>Opolski!E15</f>
        <v>-</v>
      </c>
      <c r="M14" s="139" t="str">
        <f>Podkarpacki!E15</f>
        <v>-</v>
      </c>
      <c r="N14" s="139" t="str">
        <f>Podlaski!E15</f>
        <v>-</v>
      </c>
      <c r="O14" s="139" t="str">
        <f>Pomorski!E15</f>
        <v>-</v>
      </c>
      <c r="P14" s="139" t="str">
        <f>Śląski!E15</f>
        <v>-</v>
      </c>
      <c r="Q14" s="139" t="str">
        <f>Świętokrzyski!E15</f>
        <v>-</v>
      </c>
      <c r="R14" s="139" t="str">
        <f>WarmińskoMazurski!E15</f>
        <v>-</v>
      </c>
      <c r="S14" s="139" t="str">
        <f>Wielkopolski!E15</f>
        <v>-</v>
      </c>
      <c r="T14" s="139" t="str">
        <f>Zachodniopomorski!E15</f>
        <v>-</v>
      </c>
    </row>
    <row r="15" spans="1:20" ht="22.5" hidden="1">
      <c r="A15" s="40" t="s">
        <v>8</v>
      </c>
      <c r="B15" s="100" t="s">
        <v>168</v>
      </c>
      <c r="C15" s="139" t="str">
        <f>CENTRALA!E16</f>
        <v>-</v>
      </c>
      <c r="D15" s="135">
        <f t="shared" si="0"/>
        <v>0</v>
      </c>
      <c r="E15" s="139" t="str">
        <f>Dolnośląski!E16</f>
        <v>-</v>
      </c>
      <c r="F15" s="139" t="str">
        <f>KujawskoPomorski!E16</f>
        <v>-</v>
      </c>
      <c r="G15" s="139" t="str">
        <f>Lubelski!E16</f>
        <v>-</v>
      </c>
      <c r="H15" s="139" t="str">
        <f>Lubuski!E16</f>
        <v>-</v>
      </c>
      <c r="I15" s="139" t="str">
        <f>Łódzki!E16</f>
        <v>-</v>
      </c>
      <c r="J15" s="139" t="str">
        <f>Małopolski!E16</f>
        <v>-</v>
      </c>
      <c r="K15" s="139" t="str">
        <f>Mazowiecki!E16</f>
        <v>-</v>
      </c>
      <c r="L15" s="139" t="str">
        <f>Opolski!E16</f>
        <v>-</v>
      </c>
      <c r="M15" s="139" t="str">
        <f>Podkarpacki!E16</f>
        <v>-</v>
      </c>
      <c r="N15" s="139" t="str">
        <f>Podlaski!E16</f>
        <v>-</v>
      </c>
      <c r="O15" s="139" t="str">
        <f>Pomorski!E16</f>
        <v>-</v>
      </c>
      <c r="P15" s="139" t="str">
        <f>Śląski!E16</f>
        <v>-</v>
      </c>
      <c r="Q15" s="139" t="str">
        <f>Świętokrzyski!E16</f>
        <v>-</v>
      </c>
      <c r="R15" s="139" t="str">
        <f>WarmińskoMazurski!E16</f>
        <v>-</v>
      </c>
      <c r="S15" s="139" t="str">
        <f>Wielkopolski!E16</f>
        <v>-</v>
      </c>
      <c r="T15" s="139" t="str">
        <f>Zachodniopomorski!E16</f>
        <v>-</v>
      </c>
    </row>
    <row r="16" spans="1:20" ht="22.5" hidden="1">
      <c r="A16" s="40" t="s">
        <v>9</v>
      </c>
      <c r="B16" s="100" t="s">
        <v>169</v>
      </c>
      <c r="C16" s="139" t="str">
        <f>CENTRALA!E17</f>
        <v>-</v>
      </c>
      <c r="D16" s="135">
        <f t="shared" si="0"/>
        <v>0</v>
      </c>
      <c r="E16" s="139" t="str">
        <f>Dolnośląski!E17</f>
        <v>-</v>
      </c>
      <c r="F16" s="139" t="str">
        <f>KujawskoPomorski!E17</f>
        <v>-</v>
      </c>
      <c r="G16" s="139" t="str">
        <f>Lubelski!E17</f>
        <v>-</v>
      </c>
      <c r="H16" s="139" t="str">
        <f>Lubuski!E17</f>
        <v>-</v>
      </c>
      <c r="I16" s="139" t="str">
        <f>Łódzki!E17</f>
        <v>-</v>
      </c>
      <c r="J16" s="139" t="str">
        <f>Małopolski!E17</f>
        <v>-</v>
      </c>
      <c r="K16" s="139" t="str">
        <f>Mazowiecki!E17</f>
        <v>-</v>
      </c>
      <c r="L16" s="139" t="str">
        <f>Opolski!E17</f>
        <v>-</v>
      </c>
      <c r="M16" s="139" t="str">
        <f>Podkarpacki!E17</f>
        <v>-</v>
      </c>
      <c r="N16" s="139" t="str">
        <f>Podlaski!E17</f>
        <v>-</v>
      </c>
      <c r="O16" s="139" t="str">
        <f>Pomorski!E17</f>
        <v>-</v>
      </c>
      <c r="P16" s="139" t="str">
        <f>Śląski!E17</f>
        <v>-</v>
      </c>
      <c r="Q16" s="139" t="str">
        <f>Świętokrzyski!E17</f>
        <v>-</v>
      </c>
      <c r="R16" s="139" t="str">
        <f>WarmińskoMazurski!E17</f>
        <v>-</v>
      </c>
      <c r="S16" s="139" t="str">
        <f>Wielkopolski!E17</f>
        <v>-</v>
      </c>
      <c r="T16" s="139" t="str">
        <f>Zachodniopomorski!E17</f>
        <v>-</v>
      </c>
    </row>
    <row r="17" spans="1:20" ht="22.5" hidden="1">
      <c r="A17" s="40" t="s">
        <v>10</v>
      </c>
      <c r="B17" s="100" t="s">
        <v>177</v>
      </c>
      <c r="C17" s="139" t="str">
        <f>CENTRALA!E18</f>
        <v>-</v>
      </c>
      <c r="D17" s="135">
        <f t="shared" si="0"/>
        <v>0</v>
      </c>
      <c r="E17" s="139" t="str">
        <f>Dolnośląski!E18</f>
        <v>-</v>
      </c>
      <c r="F17" s="139" t="str">
        <f>KujawskoPomorski!E18</f>
        <v>-</v>
      </c>
      <c r="G17" s="139" t="str">
        <f>Lubelski!E18</f>
        <v>-</v>
      </c>
      <c r="H17" s="139" t="str">
        <f>Lubuski!E18</f>
        <v>-</v>
      </c>
      <c r="I17" s="139" t="str">
        <f>Łódzki!E18</f>
        <v>-</v>
      </c>
      <c r="J17" s="139" t="str">
        <f>Małopolski!E18</f>
        <v>-</v>
      </c>
      <c r="K17" s="139" t="str">
        <f>Mazowiecki!E18</f>
        <v>-</v>
      </c>
      <c r="L17" s="139" t="str">
        <f>Opolski!E18</f>
        <v>-</v>
      </c>
      <c r="M17" s="139" t="str">
        <f>Podkarpacki!E18</f>
        <v>-</v>
      </c>
      <c r="N17" s="139" t="str">
        <f>Podlaski!E18</f>
        <v>-</v>
      </c>
      <c r="O17" s="139" t="str">
        <f>Pomorski!E18</f>
        <v>-</v>
      </c>
      <c r="P17" s="139" t="str">
        <f>Śląski!E18</f>
        <v>-</v>
      </c>
      <c r="Q17" s="139" t="str">
        <f>Świętokrzyski!E18</f>
        <v>-</v>
      </c>
      <c r="R17" s="139" t="str">
        <f>WarmińskoMazurski!E18</f>
        <v>-</v>
      </c>
      <c r="S17" s="139" t="str">
        <f>Wielkopolski!E18</f>
        <v>-</v>
      </c>
      <c r="T17" s="139" t="str">
        <f>Zachodniopomorski!E18</f>
        <v>-</v>
      </c>
    </row>
    <row r="18" spans="1:20" ht="40.5" hidden="1">
      <c r="A18" s="40" t="s">
        <v>11</v>
      </c>
      <c r="B18" s="100" t="s">
        <v>170</v>
      </c>
      <c r="C18" s="139" t="str">
        <f>CENTRALA!E19</f>
        <v>-</v>
      </c>
      <c r="D18" s="135">
        <f t="shared" si="0"/>
        <v>0</v>
      </c>
      <c r="E18" s="139" t="str">
        <f>Dolnośląski!E19</f>
        <v>-</v>
      </c>
      <c r="F18" s="139" t="str">
        <f>KujawskoPomorski!E19</f>
        <v>-</v>
      </c>
      <c r="G18" s="139" t="str">
        <f>Lubelski!E19</f>
        <v>-</v>
      </c>
      <c r="H18" s="139" t="str">
        <f>Lubuski!E19</f>
        <v>-</v>
      </c>
      <c r="I18" s="139" t="str">
        <f>Łódzki!E19</f>
        <v>-</v>
      </c>
      <c r="J18" s="139" t="str">
        <f>Małopolski!E19</f>
        <v>-</v>
      </c>
      <c r="K18" s="139" t="str">
        <f>Mazowiecki!E19</f>
        <v>-</v>
      </c>
      <c r="L18" s="139" t="str">
        <f>Opolski!E19</f>
        <v>-</v>
      </c>
      <c r="M18" s="139" t="str">
        <f>Podkarpacki!E19</f>
        <v>-</v>
      </c>
      <c r="N18" s="139" t="str">
        <f>Podlaski!E19</f>
        <v>-</v>
      </c>
      <c r="O18" s="139" t="str">
        <f>Pomorski!E19</f>
        <v>-</v>
      </c>
      <c r="P18" s="139" t="str">
        <f>Śląski!E19</f>
        <v>-</v>
      </c>
      <c r="Q18" s="139" t="str">
        <f>Świętokrzyski!E19</f>
        <v>-</v>
      </c>
      <c r="R18" s="139" t="str">
        <f>WarmińskoMazurski!E19</f>
        <v>-</v>
      </c>
      <c r="S18" s="139" t="str">
        <f>Wielkopolski!E19</f>
        <v>-</v>
      </c>
      <c r="T18" s="139" t="str">
        <f>Zachodniopomorski!E19</f>
        <v>-</v>
      </c>
    </row>
    <row r="19" spans="1:20" ht="22.5" hidden="1">
      <c r="A19" s="40" t="s">
        <v>12</v>
      </c>
      <c r="B19" s="100" t="s">
        <v>171</v>
      </c>
      <c r="C19" s="139" t="str">
        <f>CENTRALA!E20</f>
        <v>-</v>
      </c>
      <c r="D19" s="135">
        <f t="shared" si="0"/>
        <v>0</v>
      </c>
      <c r="E19" s="139" t="str">
        <f>Dolnośląski!E20</f>
        <v>-</v>
      </c>
      <c r="F19" s="139" t="str">
        <f>KujawskoPomorski!E20</f>
        <v>-</v>
      </c>
      <c r="G19" s="139" t="str">
        <f>Lubelski!E20</f>
        <v>-</v>
      </c>
      <c r="H19" s="139" t="str">
        <f>Lubuski!E20</f>
        <v>-</v>
      </c>
      <c r="I19" s="139" t="str">
        <f>Łódzki!E20</f>
        <v>-</v>
      </c>
      <c r="J19" s="139" t="str">
        <f>Małopolski!E20</f>
        <v>-</v>
      </c>
      <c r="K19" s="139" t="str">
        <f>Mazowiecki!E20</f>
        <v>-</v>
      </c>
      <c r="L19" s="139" t="str">
        <f>Opolski!E20</f>
        <v>-</v>
      </c>
      <c r="M19" s="139" t="str">
        <f>Podkarpacki!E20</f>
        <v>-</v>
      </c>
      <c r="N19" s="139" t="str">
        <f>Podlaski!E20</f>
        <v>-</v>
      </c>
      <c r="O19" s="139" t="str">
        <f>Pomorski!E20</f>
        <v>-</v>
      </c>
      <c r="P19" s="139" t="str">
        <f>Śląski!E20</f>
        <v>-</v>
      </c>
      <c r="Q19" s="139" t="str">
        <f>Świętokrzyski!E20</f>
        <v>-</v>
      </c>
      <c r="R19" s="139" t="str">
        <f>WarmińskoMazurski!E20</f>
        <v>-</v>
      </c>
      <c r="S19" s="139" t="str">
        <f>Wielkopolski!E20</f>
        <v>-</v>
      </c>
      <c r="T19" s="139" t="str">
        <f>Zachodniopomorski!E20</f>
        <v>-</v>
      </c>
    </row>
    <row r="20" spans="1:20" ht="40.5" hidden="1">
      <c r="A20" s="40" t="s">
        <v>14</v>
      </c>
      <c r="B20" s="46" t="s">
        <v>13</v>
      </c>
      <c r="C20" s="139" t="str">
        <f>CENTRALA!E21</f>
        <v>-</v>
      </c>
      <c r="D20" s="135">
        <f t="shared" si="0"/>
        <v>0</v>
      </c>
      <c r="E20" s="139" t="str">
        <f>Dolnośląski!E21</f>
        <v>-</v>
      </c>
      <c r="F20" s="139" t="str">
        <f>KujawskoPomorski!E21</f>
        <v>-</v>
      </c>
      <c r="G20" s="139" t="str">
        <f>Lubelski!E21</f>
        <v>-</v>
      </c>
      <c r="H20" s="139" t="str">
        <f>Lubuski!E21</f>
        <v>-</v>
      </c>
      <c r="I20" s="139" t="str">
        <f>Łódzki!E21</f>
        <v>-</v>
      </c>
      <c r="J20" s="139" t="str">
        <f>Małopolski!E21</f>
        <v>-</v>
      </c>
      <c r="K20" s="139" t="str">
        <f>Mazowiecki!E21</f>
        <v>-</v>
      </c>
      <c r="L20" s="139" t="str">
        <f>Opolski!E21</f>
        <v>-</v>
      </c>
      <c r="M20" s="139" t="str">
        <f>Podkarpacki!E21</f>
        <v>-</v>
      </c>
      <c r="N20" s="139" t="str">
        <f>Podlaski!E21</f>
        <v>-</v>
      </c>
      <c r="O20" s="139" t="str">
        <f>Pomorski!E21</f>
        <v>-</v>
      </c>
      <c r="P20" s="139" t="str">
        <f>Śląski!E21</f>
        <v>-</v>
      </c>
      <c r="Q20" s="139" t="str">
        <f>Świętokrzyski!E21</f>
        <v>-</v>
      </c>
      <c r="R20" s="139" t="str">
        <f>WarmińskoMazurski!E21</f>
        <v>-</v>
      </c>
      <c r="S20" s="139" t="str">
        <f>Wielkopolski!E21</f>
        <v>-</v>
      </c>
      <c r="T20" s="139" t="str">
        <f>Zachodniopomorski!E21</f>
        <v>-</v>
      </c>
    </row>
    <row r="21" spans="1:20" ht="22.5" hidden="1">
      <c r="A21" s="41" t="s">
        <v>15</v>
      </c>
      <c r="B21" s="100" t="s">
        <v>173</v>
      </c>
      <c r="C21" s="139" t="str">
        <f>CENTRALA!E22</f>
        <v>-</v>
      </c>
      <c r="D21" s="135">
        <f t="shared" si="0"/>
        <v>0</v>
      </c>
      <c r="E21" s="139" t="str">
        <f>Dolnośląski!E22</f>
        <v>-</v>
      </c>
      <c r="F21" s="139" t="str">
        <f>KujawskoPomorski!E22</f>
        <v>-</v>
      </c>
      <c r="G21" s="139" t="str">
        <f>Lubelski!E22</f>
        <v>-</v>
      </c>
      <c r="H21" s="139" t="str">
        <f>Lubuski!E22</f>
        <v>-</v>
      </c>
      <c r="I21" s="139" t="str">
        <f>Łódzki!E22</f>
        <v>-</v>
      </c>
      <c r="J21" s="139" t="str">
        <f>Małopolski!E22</f>
        <v>-</v>
      </c>
      <c r="K21" s="139" t="str">
        <f>Mazowiecki!E22</f>
        <v>-</v>
      </c>
      <c r="L21" s="139" t="str">
        <f>Opolski!E22</f>
        <v>-</v>
      </c>
      <c r="M21" s="139" t="str">
        <f>Podkarpacki!E22</f>
        <v>-</v>
      </c>
      <c r="N21" s="139" t="str">
        <f>Podlaski!E22</f>
        <v>-</v>
      </c>
      <c r="O21" s="139" t="str">
        <f>Pomorski!E22</f>
        <v>-</v>
      </c>
      <c r="P21" s="139" t="str">
        <f>Śląski!E22</f>
        <v>-</v>
      </c>
      <c r="Q21" s="139" t="str">
        <f>Świętokrzyski!E22</f>
        <v>-</v>
      </c>
      <c r="R21" s="139" t="str">
        <f>WarmińskoMazurski!E22</f>
        <v>-</v>
      </c>
      <c r="S21" s="139" t="str">
        <f>Wielkopolski!E22</f>
        <v>-</v>
      </c>
      <c r="T21" s="139" t="str">
        <f>Zachodniopomorski!E22</f>
        <v>-</v>
      </c>
    </row>
    <row r="22" spans="1:20" ht="22.5" hidden="1">
      <c r="A22" s="39" t="s">
        <v>178</v>
      </c>
      <c r="B22" s="45" t="s">
        <v>66</v>
      </c>
      <c r="C22" s="139" t="str">
        <f>CENTRALA!E23</f>
        <v>-</v>
      </c>
      <c r="D22" s="135">
        <f t="shared" si="0"/>
        <v>0</v>
      </c>
      <c r="E22" s="139" t="str">
        <f>Dolnośląski!E23</f>
        <v>-</v>
      </c>
      <c r="F22" s="139" t="str">
        <f>KujawskoPomorski!E23</f>
        <v>-</v>
      </c>
      <c r="G22" s="139" t="str">
        <f>Lubelski!E23</f>
        <v>-</v>
      </c>
      <c r="H22" s="139" t="str">
        <f>Lubuski!E23</f>
        <v>-</v>
      </c>
      <c r="I22" s="139" t="str">
        <f>Łódzki!E23</f>
        <v>-</v>
      </c>
      <c r="J22" s="139" t="str">
        <f>Małopolski!E23</f>
        <v>-</v>
      </c>
      <c r="K22" s="139" t="str">
        <f>Mazowiecki!E23</f>
        <v>-</v>
      </c>
      <c r="L22" s="139" t="str">
        <f>Opolski!E23</f>
        <v>-</v>
      </c>
      <c r="M22" s="139" t="str">
        <f>Podkarpacki!E23</f>
        <v>-</v>
      </c>
      <c r="N22" s="139" t="str">
        <f>Podlaski!E23</f>
        <v>-</v>
      </c>
      <c r="O22" s="139" t="str">
        <f>Pomorski!E23</f>
        <v>-</v>
      </c>
      <c r="P22" s="139" t="str">
        <f>Śląski!E23</f>
        <v>-</v>
      </c>
      <c r="Q22" s="139" t="str">
        <f>Świętokrzyski!E23</f>
        <v>-</v>
      </c>
      <c r="R22" s="139" t="str">
        <f>WarmińskoMazurski!E23</f>
        <v>-</v>
      </c>
      <c r="S22" s="139" t="str">
        <f>Wielkopolski!E23</f>
        <v>-</v>
      </c>
      <c r="T22" s="139" t="str">
        <f>Zachodniopomorski!E23</f>
        <v>-</v>
      </c>
    </row>
    <row r="23" spans="1:20" ht="40.5" hidden="1">
      <c r="A23" s="42" t="s">
        <v>16</v>
      </c>
      <c r="B23" s="47" t="s">
        <v>140</v>
      </c>
      <c r="C23" s="139" t="str">
        <f>CENTRALA!E24</f>
        <v>-</v>
      </c>
      <c r="D23" s="135">
        <f t="shared" si="0"/>
        <v>0</v>
      </c>
      <c r="E23" s="139" t="str">
        <f>Dolnośląski!E24</f>
        <v>-</v>
      </c>
      <c r="F23" s="139" t="str">
        <f>KujawskoPomorski!E24</f>
        <v>-</v>
      </c>
      <c r="G23" s="139" t="str">
        <f>Lubelski!E24</f>
        <v>-</v>
      </c>
      <c r="H23" s="139" t="str">
        <f>Lubuski!E24</f>
        <v>-</v>
      </c>
      <c r="I23" s="139" t="str">
        <f>Łódzki!E24</f>
        <v>-</v>
      </c>
      <c r="J23" s="139" t="str">
        <f>Małopolski!E24</f>
        <v>-</v>
      </c>
      <c r="K23" s="139" t="str">
        <f>Mazowiecki!E24</f>
        <v>-</v>
      </c>
      <c r="L23" s="139" t="str">
        <f>Opolski!E24</f>
        <v>-</v>
      </c>
      <c r="M23" s="139" t="str">
        <f>Podkarpacki!E24</f>
        <v>-</v>
      </c>
      <c r="N23" s="139" t="str">
        <f>Podlaski!E24</f>
        <v>-</v>
      </c>
      <c r="O23" s="139" t="str">
        <f>Pomorski!E24</f>
        <v>-</v>
      </c>
      <c r="P23" s="139" t="str">
        <f>Śląski!E24</f>
        <v>-</v>
      </c>
      <c r="Q23" s="139" t="str">
        <f>Świętokrzyski!E24</f>
        <v>-</v>
      </c>
      <c r="R23" s="139" t="str">
        <f>WarmińskoMazurski!E24</f>
        <v>-</v>
      </c>
      <c r="S23" s="139" t="str">
        <f>Wielkopolski!E24</f>
        <v>-</v>
      </c>
      <c r="T23" s="139" t="str">
        <f>Zachodniopomorski!E24</f>
        <v>-</v>
      </c>
    </row>
    <row r="24" spans="1:20" ht="40.5" hidden="1">
      <c r="A24" s="42" t="s">
        <v>137</v>
      </c>
      <c r="B24" s="48" t="s">
        <v>60</v>
      </c>
      <c r="C24" s="139" t="str">
        <f>CENTRALA!E25</f>
        <v>-</v>
      </c>
      <c r="D24" s="135">
        <f t="shared" si="0"/>
        <v>0</v>
      </c>
      <c r="E24" s="139" t="str">
        <f>Dolnośląski!E25</f>
        <v>-</v>
      </c>
      <c r="F24" s="139" t="str">
        <f>KujawskoPomorski!E25</f>
        <v>-</v>
      </c>
      <c r="G24" s="139" t="str">
        <f>Lubelski!E25</f>
        <v>-</v>
      </c>
      <c r="H24" s="139" t="str">
        <f>Lubuski!E25</f>
        <v>-</v>
      </c>
      <c r="I24" s="139" t="str">
        <f>Łódzki!E25</f>
        <v>-</v>
      </c>
      <c r="J24" s="139" t="str">
        <f>Małopolski!E25</f>
        <v>-</v>
      </c>
      <c r="K24" s="139" t="str">
        <f>Mazowiecki!E25</f>
        <v>-</v>
      </c>
      <c r="L24" s="139" t="str">
        <f>Opolski!E25</f>
        <v>-</v>
      </c>
      <c r="M24" s="139" t="str">
        <f>Podkarpacki!E25</f>
        <v>-</v>
      </c>
      <c r="N24" s="139" t="str">
        <f>Podlaski!E25</f>
        <v>-</v>
      </c>
      <c r="O24" s="139" t="str">
        <f>Pomorski!E25</f>
        <v>-</v>
      </c>
      <c r="P24" s="139" t="str">
        <f>Śląski!E25</f>
        <v>-</v>
      </c>
      <c r="Q24" s="139" t="str">
        <f>Świętokrzyski!E25</f>
        <v>-</v>
      </c>
      <c r="R24" s="139" t="str">
        <f>WarmińskoMazurski!E25</f>
        <v>-</v>
      </c>
      <c r="S24" s="139" t="str">
        <f>Wielkopolski!E25</f>
        <v>-</v>
      </c>
      <c r="T24" s="139" t="str">
        <f>Zachodniopomorski!E25</f>
        <v>-</v>
      </c>
    </row>
    <row r="25" spans="1:20" ht="40.5" hidden="1">
      <c r="A25" s="42" t="s">
        <v>138</v>
      </c>
      <c r="B25" s="48" t="s">
        <v>141</v>
      </c>
      <c r="C25" s="139" t="str">
        <f>CENTRALA!E26</f>
        <v>-</v>
      </c>
      <c r="D25" s="135">
        <f t="shared" si="0"/>
        <v>0</v>
      </c>
      <c r="E25" s="139" t="str">
        <f>Dolnośląski!E26</f>
        <v>-</v>
      </c>
      <c r="F25" s="139" t="str">
        <f>KujawskoPomorski!E26</f>
        <v>-</v>
      </c>
      <c r="G25" s="139" t="str">
        <f>Lubelski!E26</f>
        <v>-</v>
      </c>
      <c r="H25" s="139" t="str">
        <f>Lubuski!E26</f>
        <v>-</v>
      </c>
      <c r="I25" s="139" t="str">
        <f>Łódzki!E26</f>
        <v>-</v>
      </c>
      <c r="J25" s="139" t="str">
        <f>Małopolski!E26</f>
        <v>-</v>
      </c>
      <c r="K25" s="139" t="str">
        <f>Mazowiecki!E26</f>
        <v>-</v>
      </c>
      <c r="L25" s="139" t="str">
        <f>Opolski!E26</f>
        <v>-</v>
      </c>
      <c r="M25" s="139" t="str">
        <f>Podkarpacki!E26</f>
        <v>-</v>
      </c>
      <c r="N25" s="139" t="str">
        <f>Podlaski!E26</f>
        <v>-</v>
      </c>
      <c r="O25" s="139" t="str">
        <f>Pomorski!E26</f>
        <v>-</v>
      </c>
      <c r="P25" s="139" t="str">
        <f>Śląski!E26</f>
        <v>-</v>
      </c>
      <c r="Q25" s="139" t="str">
        <f>Świętokrzyski!E26</f>
        <v>-</v>
      </c>
      <c r="R25" s="139" t="str">
        <f>WarmińskoMazurski!E26</f>
        <v>-</v>
      </c>
      <c r="S25" s="139" t="str">
        <f>Wielkopolski!E26</f>
        <v>-</v>
      </c>
      <c r="T25" s="139" t="str">
        <f>Zachodniopomorski!E26</f>
        <v>-</v>
      </c>
    </row>
    <row r="26" spans="1:20" ht="22.5" hidden="1">
      <c r="A26" s="42" t="s">
        <v>139</v>
      </c>
      <c r="B26" s="48" t="s">
        <v>142</v>
      </c>
      <c r="C26" s="139" t="str">
        <f>CENTRALA!E27</f>
        <v>-</v>
      </c>
      <c r="D26" s="135">
        <f t="shared" si="0"/>
        <v>0</v>
      </c>
      <c r="E26" s="139" t="str">
        <f>Dolnośląski!E27</f>
        <v>-</v>
      </c>
      <c r="F26" s="139" t="str">
        <f>KujawskoPomorski!E27</f>
        <v>-</v>
      </c>
      <c r="G26" s="139" t="str">
        <f>Lubelski!E27</f>
        <v>-</v>
      </c>
      <c r="H26" s="139" t="str">
        <f>Lubuski!E27</f>
        <v>-</v>
      </c>
      <c r="I26" s="139" t="str">
        <f>Łódzki!E27</f>
        <v>-</v>
      </c>
      <c r="J26" s="139" t="str">
        <f>Małopolski!E27</f>
        <v>-</v>
      </c>
      <c r="K26" s="139" t="str">
        <f>Mazowiecki!E27</f>
        <v>-</v>
      </c>
      <c r="L26" s="139" t="str">
        <f>Opolski!E27</f>
        <v>-</v>
      </c>
      <c r="M26" s="139" t="str">
        <f>Podkarpacki!E27</f>
        <v>-</v>
      </c>
      <c r="N26" s="139" t="str">
        <f>Podlaski!E27</f>
        <v>-</v>
      </c>
      <c r="O26" s="139" t="str">
        <f>Pomorski!E27</f>
        <v>-</v>
      </c>
      <c r="P26" s="139" t="str">
        <f>Śląski!E27</f>
        <v>-</v>
      </c>
      <c r="Q26" s="139" t="str">
        <f>Świętokrzyski!E27</f>
        <v>-</v>
      </c>
      <c r="R26" s="139" t="str">
        <f>WarmińskoMazurski!E27</f>
        <v>-</v>
      </c>
      <c r="S26" s="139" t="str">
        <f>Wielkopolski!E27</f>
        <v>-</v>
      </c>
      <c r="T26" s="139" t="str">
        <f>Zachodniopomorski!E27</f>
        <v>-</v>
      </c>
    </row>
    <row r="27" spans="1:20" s="5" customFormat="1" ht="40.5" hidden="1">
      <c r="A27" s="43" t="s">
        <v>68</v>
      </c>
      <c r="B27" s="49" t="s">
        <v>69</v>
      </c>
      <c r="C27" s="139" t="str">
        <f>CENTRALA!E28</f>
        <v>-</v>
      </c>
      <c r="D27" s="135">
        <f t="shared" si="0"/>
        <v>0</v>
      </c>
      <c r="E27" s="139" t="str">
        <f>Dolnośląski!E28</f>
        <v>-</v>
      </c>
      <c r="F27" s="139" t="str">
        <f>KujawskoPomorski!E28</f>
        <v>-</v>
      </c>
      <c r="G27" s="139" t="str">
        <f>Lubelski!E28</f>
        <v>-</v>
      </c>
      <c r="H27" s="139" t="str">
        <f>Lubuski!E28</f>
        <v>-</v>
      </c>
      <c r="I27" s="139" t="str">
        <f>Łódzki!E28</f>
        <v>-</v>
      </c>
      <c r="J27" s="139" t="str">
        <f>Małopolski!E28</f>
        <v>-</v>
      </c>
      <c r="K27" s="139" t="str">
        <f>Mazowiecki!E28</f>
        <v>-</v>
      </c>
      <c r="L27" s="139" t="str">
        <f>Opolski!E28</f>
        <v>-</v>
      </c>
      <c r="M27" s="139" t="str">
        <f>Podkarpacki!E28</f>
        <v>-</v>
      </c>
      <c r="N27" s="139" t="str">
        <f>Podlaski!E28</f>
        <v>-</v>
      </c>
      <c r="O27" s="139" t="str">
        <f>Pomorski!E28</f>
        <v>-</v>
      </c>
      <c r="P27" s="139" t="str">
        <f>Śląski!E28</f>
        <v>-</v>
      </c>
      <c r="Q27" s="139" t="str">
        <f>Świętokrzyski!E28</f>
        <v>-</v>
      </c>
      <c r="R27" s="139" t="str">
        <f>WarmińskoMazurski!E28</f>
        <v>-</v>
      </c>
      <c r="S27" s="139" t="str">
        <f>Wielkopolski!E28</f>
        <v>-</v>
      </c>
      <c r="T27" s="139" t="str">
        <f>Zachodniopomorski!E28</f>
        <v>-</v>
      </c>
    </row>
    <row r="28" spans="1:20" s="5" customFormat="1" ht="22.5" hidden="1">
      <c r="A28" s="43" t="s">
        <v>67</v>
      </c>
      <c r="B28" s="49" t="s">
        <v>70</v>
      </c>
      <c r="C28" s="139" t="str">
        <f>CENTRALA!E29</f>
        <v>-</v>
      </c>
      <c r="D28" s="135">
        <f t="shared" si="0"/>
        <v>0</v>
      </c>
      <c r="E28" s="139" t="str">
        <f>Dolnośląski!E29</f>
        <v>-</v>
      </c>
      <c r="F28" s="139" t="str">
        <f>KujawskoPomorski!E29</f>
        <v>-</v>
      </c>
      <c r="G28" s="139" t="str">
        <f>Lubelski!E29</f>
        <v>-</v>
      </c>
      <c r="H28" s="139" t="str">
        <f>Lubuski!E29</f>
        <v>-</v>
      </c>
      <c r="I28" s="139" t="str">
        <f>Łódzki!E29</f>
        <v>-</v>
      </c>
      <c r="J28" s="139" t="str">
        <f>Małopolski!E29</f>
        <v>-</v>
      </c>
      <c r="K28" s="139" t="str">
        <f>Mazowiecki!E29</f>
        <v>-</v>
      </c>
      <c r="L28" s="139" t="str">
        <f>Opolski!E29</f>
        <v>-</v>
      </c>
      <c r="M28" s="139" t="str">
        <f>Podkarpacki!E29</f>
        <v>-</v>
      </c>
      <c r="N28" s="139" t="str">
        <f>Podlaski!E29</f>
        <v>-</v>
      </c>
      <c r="O28" s="139" t="str">
        <f>Pomorski!E29</f>
        <v>-</v>
      </c>
      <c r="P28" s="139" t="str">
        <f>Śląski!E29</f>
        <v>-</v>
      </c>
      <c r="Q28" s="139" t="str">
        <f>Świętokrzyski!E29</f>
        <v>-</v>
      </c>
      <c r="R28" s="139" t="str">
        <f>WarmińskoMazurski!E29</f>
        <v>-</v>
      </c>
      <c r="S28" s="139" t="str">
        <f>Wielkopolski!E29</f>
        <v>-</v>
      </c>
      <c r="T28" s="139" t="str">
        <f>Zachodniopomorski!E29</f>
        <v>-</v>
      </c>
    </row>
    <row r="29" spans="1:20" s="3" customFormat="1" ht="22.5" hidden="1">
      <c r="A29" s="37" t="s">
        <v>17</v>
      </c>
      <c r="B29" s="57" t="s">
        <v>18</v>
      </c>
      <c r="C29" s="123" t="str">
        <f>CENTRALA!E30</f>
        <v>-</v>
      </c>
      <c r="D29" s="123">
        <f>SUM(E29:T29)</f>
        <v>0</v>
      </c>
      <c r="E29" s="123" t="str">
        <f>Dolnośląski!E30</f>
        <v>-</v>
      </c>
      <c r="F29" s="123" t="str">
        <f>KujawskoPomorski!E30</f>
        <v>-</v>
      </c>
      <c r="G29" s="123" t="str">
        <f>Lubelski!E30</f>
        <v>-</v>
      </c>
      <c r="H29" s="123" t="str">
        <f>Lubuski!E30</f>
        <v>-</v>
      </c>
      <c r="I29" s="123" t="str">
        <f>Łódzki!E30</f>
        <v>-</v>
      </c>
      <c r="J29" s="123" t="str">
        <f>Małopolski!E30</f>
        <v>-</v>
      </c>
      <c r="K29" s="123" t="str">
        <f>Mazowiecki!E30</f>
        <v>-</v>
      </c>
      <c r="L29" s="123" t="str">
        <f>Opolski!E30</f>
        <v>-</v>
      </c>
      <c r="M29" s="123" t="str">
        <f>Podkarpacki!E30</f>
        <v>-</v>
      </c>
      <c r="N29" s="123" t="str">
        <f>Podlaski!E30</f>
        <v>-</v>
      </c>
      <c r="O29" s="123" t="str">
        <f>Pomorski!E30</f>
        <v>-</v>
      </c>
      <c r="P29" s="123" t="str">
        <f>Śląski!E30</f>
        <v>-</v>
      </c>
      <c r="Q29" s="123" t="str">
        <f>Świętokrzyski!E30</f>
        <v>-</v>
      </c>
      <c r="R29" s="123" t="str">
        <f>WarmińskoMazurski!E30</f>
        <v>-</v>
      </c>
      <c r="S29" s="123" t="str">
        <f>Wielkopolski!E30</f>
        <v>-</v>
      </c>
      <c r="T29" s="123" t="str">
        <f>Zachodniopomorski!E30</f>
        <v>-</v>
      </c>
    </row>
    <row r="30" spans="1:20" ht="22.5" hidden="1">
      <c r="A30" s="42" t="s">
        <v>19</v>
      </c>
      <c r="B30" s="51" t="s">
        <v>20</v>
      </c>
      <c r="C30" s="139" t="str">
        <f>CENTRALA!E31</f>
        <v>-</v>
      </c>
      <c r="D30" s="135">
        <f>SUM(E30:T30)</f>
        <v>0</v>
      </c>
      <c r="E30" s="139" t="str">
        <f>Dolnośląski!E31</f>
        <v>-</v>
      </c>
      <c r="F30" s="139" t="str">
        <f>KujawskoPomorski!E31</f>
        <v>-</v>
      </c>
      <c r="G30" s="139" t="str">
        <f>Lubelski!E31</f>
        <v>-</v>
      </c>
      <c r="H30" s="139" t="str">
        <f>Lubuski!E31</f>
        <v>-</v>
      </c>
      <c r="I30" s="139" t="str">
        <f>Łódzki!E31</f>
        <v>-</v>
      </c>
      <c r="J30" s="139" t="str">
        <f>Małopolski!E31</f>
        <v>-</v>
      </c>
      <c r="K30" s="139" t="str">
        <f>Mazowiecki!E31</f>
        <v>-</v>
      </c>
      <c r="L30" s="139" t="str">
        <f>Opolski!E31</f>
        <v>-</v>
      </c>
      <c r="M30" s="139" t="str">
        <f>Podkarpacki!E31</f>
        <v>-</v>
      </c>
      <c r="N30" s="139" t="str">
        <f>Podlaski!E31</f>
        <v>-</v>
      </c>
      <c r="O30" s="139" t="str">
        <f>Pomorski!E31</f>
        <v>-</v>
      </c>
      <c r="P30" s="139" t="str">
        <f>Śląski!E31</f>
        <v>-</v>
      </c>
      <c r="Q30" s="139" t="str">
        <f>Świętokrzyski!E31</f>
        <v>-</v>
      </c>
      <c r="R30" s="139" t="str">
        <f>WarmińskoMazurski!E31</f>
        <v>-</v>
      </c>
      <c r="S30" s="139" t="str">
        <f>Wielkopolski!E31</f>
        <v>-</v>
      </c>
      <c r="T30" s="139" t="str">
        <f>Zachodniopomorski!E31</f>
        <v>-</v>
      </c>
    </row>
    <row r="31" spans="1:20" ht="22.5" hidden="1">
      <c r="A31" s="42" t="s">
        <v>21</v>
      </c>
      <c r="B31" s="51" t="s">
        <v>22</v>
      </c>
      <c r="C31" s="139" t="str">
        <f>CENTRALA!E32</f>
        <v>-</v>
      </c>
      <c r="D31" s="135">
        <f t="shared" si="0"/>
        <v>0</v>
      </c>
      <c r="E31" s="139" t="str">
        <f>Dolnośląski!E32</f>
        <v>-</v>
      </c>
      <c r="F31" s="139" t="str">
        <f>KujawskoPomorski!E32</f>
        <v>-</v>
      </c>
      <c r="G31" s="139" t="str">
        <f>Lubelski!E32</f>
        <v>-</v>
      </c>
      <c r="H31" s="139" t="str">
        <f>Lubuski!E32</f>
        <v>-</v>
      </c>
      <c r="I31" s="139" t="str">
        <f>Łódzki!E32</f>
        <v>-</v>
      </c>
      <c r="J31" s="139" t="str">
        <f>Małopolski!E32</f>
        <v>-</v>
      </c>
      <c r="K31" s="139" t="str">
        <f>Mazowiecki!E32</f>
        <v>-</v>
      </c>
      <c r="L31" s="139" t="str">
        <f>Opolski!E32</f>
        <v>-</v>
      </c>
      <c r="M31" s="139" t="str">
        <f>Podkarpacki!E32</f>
        <v>-</v>
      </c>
      <c r="N31" s="139" t="str">
        <f>Podlaski!E32</f>
        <v>-</v>
      </c>
      <c r="O31" s="139" t="str">
        <f>Pomorski!E32</f>
        <v>-</v>
      </c>
      <c r="P31" s="139" t="str">
        <f>Śląski!E32</f>
        <v>-</v>
      </c>
      <c r="Q31" s="139" t="str">
        <f>Świętokrzyski!E32</f>
        <v>-</v>
      </c>
      <c r="R31" s="139" t="str">
        <f>WarmińskoMazurski!E32</f>
        <v>-</v>
      </c>
      <c r="S31" s="139" t="str">
        <f>Wielkopolski!E32</f>
        <v>-</v>
      </c>
      <c r="T31" s="139" t="str">
        <f>Zachodniopomorski!E32</f>
        <v>-</v>
      </c>
    </row>
    <row r="32" spans="1:20" ht="22.5" hidden="1">
      <c r="A32" s="42" t="s">
        <v>23</v>
      </c>
      <c r="B32" s="52" t="s">
        <v>37</v>
      </c>
      <c r="C32" s="139" t="str">
        <f>CENTRALA!E33</f>
        <v>-</v>
      </c>
      <c r="D32" s="135">
        <f>SUM(E32:T32)</f>
        <v>0</v>
      </c>
      <c r="E32" s="139" t="str">
        <f>Dolnośląski!E33</f>
        <v>-</v>
      </c>
      <c r="F32" s="139" t="str">
        <f>KujawskoPomorski!E33</f>
        <v>-</v>
      </c>
      <c r="G32" s="139" t="str">
        <f>Lubelski!E33</f>
        <v>-</v>
      </c>
      <c r="H32" s="139" t="str">
        <f>Lubuski!E33</f>
        <v>-</v>
      </c>
      <c r="I32" s="139" t="str">
        <f>Łódzki!E33</f>
        <v>-</v>
      </c>
      <c r="J32" s="139" t="str">
        <f>Małopolski!E33</f>
        <v>-</v>
      </c>
      <c r="K32" s="139" t="str">
        <f>Mazowiecki!E33</f>
        <v>-</v>
      </c>
      <c r="L32" s="139" t="str">
        <f>Opolski!E33</f>
        <v>-</v>
      </c>
      <c r="M32" s="139" t="str">
        <f>Podkarpacki!E33</f>
        <v>-</v>
      </c>
      <c r="N32" s="139" t="str">
        <f>Podlaski!E33</f>
        <v>-</v>
      </c>
      <c r="O32" s="139" t="str">
        <f>Pomorski!E33</f>
        <v>-</v>
      </c>
      <c r="P32" s="139" t="str">
        <f>Śląski!E33</f>
        <v>-</v>
      </c>
      <c r="Q32" s="139" t="str">
        <f>Świętokrzyski!E33</f>
        <v>-</v>
      </c>
      <c r="R32" s="139" t="str">
        <f>WarmińskoMazurski!E33</f>
        <v>-</v>
      </c>
      <c r="S32" s="139" t="str">
        <f>Wielkopolski!E33</f>
        <v>-</v>
      </c>
      <c r="T32" s="139" t="str">
        <f>Zachodniopomorski!E33</f>
        <v>-</v>
      </c>
    </row>
    <row r="33" spans="1:20" ht="22.5" hidden="1">
      <c r="A33" s="53" t="s">
        <v>45</v>
      </c>
      <c r="B33" s="54" t="s">
        <v>38</v>
      </c>
      <c r="C33" s="139" t="str">
        <f>CENTRALA!E34</f>
        <v>-</v>
      </c>
      <c r="D33" s="135">
        <f t="shared" si="0"/>
        <v>0</v>
      </c>
      <c r="E33" s="139" t="str">
        <f>Dolnośląski!E34</f>
        <v>-</v>
      </c>
      <c r="F33" s="139" t="str">
        <f>KujawskoPomorski!E34</f>
        <v>-</v>
      </c>
      <c r="G33" s="139" t="str">
        <f>Lubelski!E34</f>
        <v>-</v>
      </c>
      <c r="H33" s="139" t="str">
        <f>Lubuski!E34</f>
        <v>-</v>
      </c>
      <c r="I33" s="139" t="str">
        <f>Łódzki!E34</f>
        <v>-</v>
      </c>
      <c r="J33" s="139" t="str">
        <f>Małopolski!E34</f>
        <v>-</v>
      </c>
      <c r="K33" s="139" t="str">
        <f>Mazowiecki!E34</f>
        <v>-</v>
      </c>
      <c r="L33" s="139" t="str">
        <f>Opolski!E34</f>
        <v>-</v>
      </c>
      <c r="M33" s="139" t="str">
        <f>Podkarpacki!E34</f>
        <v>-</v>
      </c>
      <c r="N33" s="139" t="str">
        <f>Podlaski!E34</f>
        <v>-</v>
      </c>
      <c r="O33" s="139" t="str">
        <f>Pomorski!E34</f>
        <v>-</v>
      </c>
      <c r="P33" s="139" t="str">
        <f>Śląski!E34</f>
        <v>-</v>
      </c>
      <c r="Q33" s="139" t="str">
        <f>Świętokrzyski!E34</f>
        <v>-</v>
      </c>
      <c r="R33" s="139" t="str">
        <f>WarmińskoMazurski!E34</f>
        <v>-</v>
      </c>
      <c r="S33" s="139" t="str">
        <f>Wielkopolski!E34</f>
        <v>-</v>
      </c>
      <c r="T33" s="139" t="str">
        <f>Zachodniopomorski!E34</f>
        <v>-</v>
      </c>
    </row>
    <row r="34" spans="1:20" ht="22.5" hidden="1">
      <c r="A34" s="53" t="s">
        <v>46</v>
      </c>
      <c r="B34" s="55" t="s">
        <v>39</v>
      </c>
      <c r="C34" s="139" t="str">
        <f>CENTRALA!E35</f>
        <v>-</v>
      </c>
      <c r="D34" s="135">
        <f t="shared" si="0"/>
        <v>0</v>
      </c>
      <c r="E34" s="139" t="str">
        <f>Dolnośląski!E35</f>
        <v>-</v>
      </c>
      <c r="F34" s="139" t="str">
        <f>KujawskoPomorski!E35</f>
        <v>-</v>
      </c>
      <c r="G34" s="139" t="str">
        <f>Lubelski!E35</f>
        <v>-</v>
      </c>
      <c r="H34" s="139" t="str">
        <f>Lubuski!E35</f>
        <v>-</v>
      </c>
      <c r="I34" s="139" t="str">
        <f>Łódzki!E35</f>
        <v>-</v>
      </c>
      <c r="J34" s="139" t="str">
        <f>Małopolski!E35</f>
        <v>-</v>
      </c>
      <c r="K34" s="139" t="str">
        <f>Mazowiecki!E35</f>
        <v>-</v>
      </c>
      <c r="L34" s="139" t="str">
        <f>Opolski!E35</f>
        <v>-</v>
      </c>
      <c r="M34" s="139" t="str">
        <f>Podkarpacki!E35</f>
        <v>-</v>
      </c>
      <c r="N34" s="139" t="str">
        <f>Podlaski!E35</f>
        <v>-</v>
      </c>
      <c r="O34" s="139" t="str">
        <f>Pomorski!E35</f>
        <v>-</v>
      </c>
      <c r="P34" s="139" t="str">
        <f>Śląski!E35</f>
        <v>-</v>
      </c>
      <c r="Q34" s="139" t="str">
        <f>Świętokrzyski!E35</f>
        <v>-</v>
      </c>
      <c r="R34" s="139" t="str">
        <f>WarmińskoMazurski!E35</f>
        <v>-</v>
      </c>
      <c r="S34" s="139" t="str">
        <f>Wielkopolski!E35</f>
        <v>-</v>
      </c>
      <c r="T34" s="139" t="str">
        <f>Zachodniopomorski!E35</f>
        <v>-</v>
      </c>
    </row>
    <row r="35" spans="1:20" ht="22.5" hidden="1">
      <c r="A35" s="53" t="s">
        <v>47</v>
      </c>
      <c r="B35" s="54" t="s">
        <v>40</v>
      </c>
      <c r="C35" s="139" t="str">
        <f>CENTRALA!E36</f>
        <v>-</v>
      </c>
      <c r="D35" s="135">
        <f t="shared" si="0"/>
        <v>0</v>
      </c>
      <c r="E35" s="139" t="str">
        <f>Dolnośląski!E36</f>
        <v>-</v>
      </c>
      <c r="F35" s="139" t="str">
        <f>KujawskoPomorski!E36</f>
        <v>-</v>
      </c>
      <c r="G35" s="139" t="str">
        <f>Lubelski!E36</f>
        <v>-</v>
      </c>
      <c r="H35" s="139" t="str">
        <f>Lubuski!E36</f>
        <v>-</v>
      </c>
      <c r="I35" s="139" t="str">
        <f>Łódzki!E36</f>
        <v>-</v>
      </c>
      <c r="J35" s="139" t="str">
        <f>Małopolski!E36</f>
        <v>-</v>
      </c>
      <c r="K35" s="139" t="str">
        <f>Mazowiecki!E36</f>
        <v>-</v>
      </c>
      <c r="L35" s="139" t="str">
        <f>Opolski!E36</f>
        <v>-</v>
      </c>
      <c r="M35" s="139" t="str">
        <f>Podkarpacki!E36</f>
        <v>-</v>
      </c>
      <c r="N35" s="139" t="str">
        <f>Podlaski!E36</f>
        <v>-</v>
      </c>
      <c r="O35" s="139" t="str">
        <f>Pomorski!E36</f>
        <v>-</v>
      </c>
      <c r="P35" s="139" t="str">
        <f>Śląski!E36</f>
        <v>-</v>
      </c>
      <c r="Q35" s="139" t="str">
        <f>Świętokrzyski!E36</f>
        <v>-</v>
      </c>
      <c r="R35" s="139" t="str">
        <f>WarmińskoMazurski!E36</f>
        <v>-</v>
      </c>
      <c r="S35" s="139" t="str">
        <f>Wielkopolski!E36</f>
        <v>-</v>
      </c>
      <c r="T35" s="139" t="str">
        <f>Zachodniopomorski!E36</f>
        <v>-</v>
      </c>
    </row>
    <row r="36" spans="1:20" ht="22.5" hidden="1">
      <c r="A36" s="53" t="s">
        <v>48</v>
      </c>
      <c r="B36" s="54" t="s">
        <v>41</v>
      </c>
      <c r="C36" s="139" t="str">
        <f>CENTRALA!E37</f>
        <v>-</v>
      </c>
      <c r="D36" s="135">
        <f t="shared" si="0"/>
        <v>0</v>
      </c>
      <c r="E36" s="139" t="str">
        <f>Dolnośląski!E37</f>
        <v>-</v>
      </c>
      <c r="F36" s="139" t="str">
        <f>KujawskoPomorski!E37</f>
        <v>-</v>
      </c>
      <c r="G36" s="139" t="str">
        <f>Lubelski!E37</f>
        <v>-</v>
      </c>
      <c r="H36" s="139" t="str">
        <f>Lubuski!E37</f>
        <v>-</v>
      </c>
      <c r="I36" s="139" t="str">
        <f>Łódzki!E37</f>
        <v>-</v>
      </c>
      <c r="J36" s="139" t="str">
        <f>Małopolski!E37</f>
        <v>-</v>
      </c>
      <c r="K36" s="139" t="str">
        <f>Mazowiecki!E37</f>
        <v>-</v>
      </c>
      <c r="L36" s="139" t="str">
        <f>Opolski!E37</f>
        <v>-</v>
      </c>
      <c r="M36" s="139" t="str">
        <f>Podkarpacki!E37</f>
        <v>-</v>
      </c>
      <c r="N36" s="139" t="str">
        <f>Podlaski!E37</f>
        <v>-</v>
      </c>
      <c r="O36" s="139" t="str">
        <f>Pomorski!E37</f>
        <v>-</v>
      </c>
      <c r="P36" s="139" t="str">
        <f>Śląski!E37</f>
        <v>-</v>
      </c>
      <c r="Q36" s="139" t="str">
        <f>Świętokrzyski!E37</f>
        <v>-</v>
      </c>
      <c r="R36" s="139" t="str">
        <f>WarmińskoMazurski!E37</f>
        <v>-</v>
      </c>
      <c r="S36" s="139" t="str">
        <f>Wielkopolski!E37</f>
        <v>-</v>
      </c>
      <c r="T36" s="139" t="str">
        <f>Zachodniopomorski!E37</f>
        <v>-</v>
      </c>
    </row>
    <row r="37" spans="1:20" ht="22.5" hidden="1">
      <c r="A37" s="53" t="s">
        <v>49</v>
      </c>
      <c r="B37" s="54" t="s">
        <v>42</v>
      </c>
      <c r="C37" s="139" t="str">
        <f>CENTRALA!E38</f>
        <v>-</v>
      </c>
      <c r="D37" s="135">
        <f t="shared" si="0"/>
        <v>0</v>
      </c>
      <c r="E37" s="139" t="str">
        <f>Dolnośląski!E38</f>
        <v>-</v>
      </c>
      <c r="F37" s="139" t="str">
        <f>KujawskoPomorski!E38</f>
        <v>-</v>
      </c>
      <c r="G37" s="139" t="str">
        <f>Lubelski!E38</f>
        <v>-</v>
      </c>
      <c r="H37" s="139" t="str">
        <f>Lubuski!E38</f>
        <v>-</v>
      </c>
      <c r="I37" s="139" t="str">
        <f>Łódzki!E38</f>
        <v>-</v>
      </c>
      <c r="J37" s="139" t="str">
        <f>Małopolski!E38</f>
        <v>-</v>
      </c>
      <c r="K37" s="139" t="str">
        <f>Mazowiecki!E38</f>
        <v>-</v>
      </c>
      <c r="L37" s="139" t="str">
        <f>Opolski!E38</f>
        <v>-</v>
      </c>
      <c r="M37" s="139" t="str">
        <f>Podkarpacki!E38</f>
        <v>-</v>
      </c>
      <c r="N37" s="139" t="str">
        <f>Podlaski!E38</f>
        <v>-</v>
      </c>
      <c r="O37" s="139" t="str">
        <f>Pomorski!E38</f>
        <v>-</v>
      </c>
      <c r="P37" s="139" t="str">
        <f>Śląski!E38</f>
        <v>-</v>
      </c>
      <c r="Q37" s="139" t="str">
        <f>Świętokrzyski!E38</f>
        <v>-</v>
      </c>
      <c r="R37" s="139" t="str">
        <f>WarmińskoMazurski!E38</f>
        <v>-</v>
      </c>
      <c r="S37" s="139" t="str">
        <f>Wielkopolski!E38</f>
        <v>-</v>
      </c>
      <c r="T37" s="139" t="str">
        <f>Zachodniopomorski!E38</f>
        <v>-</v>
      </c>
    </row>
    <row r="38" spans="1:20" ht="22.5" hidden="1">
      <c r="A38" s="53" t="s">
        <v>50</v>
      </c>
      <c r="B38" s="54" t="s">
        <v>43</v>
      </c>
      <c r="C38" s="139" t="str">
        <f>CENTRALA!E39</f>
        <v>-</v>
      </c>
      <c r="D38" s="135">
        <f t="shared" si="0"/>
        <v>0</v>
      </c>
      <c r="E38" s="139" t="str">
        <f>Dolnośląski!E39</f>
        <v>-</v>
      </c>
      <c r="F38" s="139" t="str">
        <f>KujawskoPomorski!E39</f>
        <v>-</v>
      </c>
      <c r="G38" s="139" t="str">
        <f>Lubelski!E39</f>
        <v>-</v>
      </c>
      <c r="H38" s="139" t="str">
        <f>Lubuski!E39</f>
        <v>-</v>
      </c>
      <c r="I38" s="139" t="str">
        <f>Łódzki!E39</f>
        <v>-</v>
      </c>
      <c r="J38" s="139" t="str">
        <f>Małopolski!E39</f>
        <v>-</v>
      </c>
      <c r="K38" s="139" t="str">
        <f>Mazowiecki!E39</f>
        <v>-</v>
      </c>
      <c r="L38" s="139" t="str">
        <f>Opolski!E39</f>
        <v>-</v>
      </c>
      <c r="M38" s="139" t="str">
        <f>Podkarpacki!E39</f>
        <v>-</v>
      </c>
      <c r="N38" s="139" t="str">
        <f>Podlaski!E39</f>
        <v>-</v>
      </c>
      <c r="O38" s="139" t="str">
        <f>Pomorski!E39</f>
        <v>-</v>
      </c>
      <c r="P38" s="139" t="str">
        <f>Śląski!E39</f>
        <v>-</v>
      </c>
      <c r="Q38" s="139" t="str">
        <f>Świętokrzyski!E39</f>
        <v>-</v>
      </c>
      <c r="R38" s="139" t="str">
        <f>WarmińskoMazurski!E39</f>
        <v>-</v>
      </c>
      <c r="S38" s="139" t="str">
        <f>Wielkopolski!E39</f>
        <v>-</v>
      </c>
      <c r="T38" s="139" t="str">
        <f>Zachodniopomorski!E39</f>
        <v>-</v>
      </c>
    </row>
    <row r="39" spans="1:20" ht="22.5" hidden="1">
      <c r="A39" s="53" t="s">
        <v>51</v>
      </c>
      <c r="B39" s="54" t="s">
        <v>44</v>
      </c>
      <c r="C39" s="139" t="str">
        <f>CENTRALA!E40</f>
        <v>-</v>
      </c>
      <c r="D39" s="135">
        <f t="shared" si="0"/>
        <v>0</v>
      </c>
      <c r="E39" s="139" t="str">
        <f>Dolnośląski!E40</f>
        <v>-</v>
      </c>
      <c r="F39" s="139" t="str">
        <f>KujawskoPomorski!E40</f>
        <v>-</v>
      </c>
      <c r="G39" s="139" t="str">
        <f>Lubelski!E40</f>
        <v>-</v>
      </c>
      <c r="H39" s="139" t="str">
        <f>Lubuski!E40</f>
        <v>-</v>
      </c>
      <c r="I39" s="139" t="str">
        <f>Łódzki!E40</f>
        <v>-</v>
      </c>
      <c r="J39" s="139" t="str">
        <f>Małopolski!E40</f>
        <v>-</v>
      </c>
      <c r="K39" s="139" t="str">
        <f>Mazowiecki!E40</f>
        <v>-</v>
      </c>
      <c r="L39" s="139" t="str">
        <f>Opolski!E40</f>
        <v>-</v>
      </c>
      <c r="M39" s="139" t="str">
        <f>Podkarpacki!E40</f>
        <v>-</v>
      </c>
      <c r="N39" s="139" t="str">
        <f>Podlaski!E40</f>
        <v>-</v>
      </c>
      <c r="O39" s="139" t="str">
        <f>Pomorski!E40</f>
        <v>-</v>
      </c>
      <c r="P39" s="139" t="str">
        <f>Śląski!E40</f>
        <v>-</v>
      </c>
      <c r="Q39" s="139" t="str">
        <f>Świętokrzyski!E40</f>
        <v>-</v>
      </c>
      <c r="R39" s="139" t="str">
        <f>WarmińskoMazurski!E40</f>
        <v>-</v>
      </c>
      <c r="S39" s="139" t="str">
        <f>Wielkopolski!E40</f>
        <v>-</v>
      </c>
      <c r="T39" s="139" t="str">
        <f>Zachodniopomorski!E40</f>
        <v>-</v>
      </c>
    </row>
    <row r="40" spans="1:20" ht="22.5" hidden="1">
      <c r="A40" s="42" t="s">
        <v>24</v>
      </c>
      <c r="B40" s="51" t="s">
        <v>25</v>
      </c>
      <c r="C40" s="139" t="str">
        <f>CENTRALA!E41</f>
        <v>-</v>
      </c>
      <c r="D40" s="135">
        <f t="shared" si="0"/>
        <v>0</v>
      </c>
      <c r="E40" s="139" t="str">
        <f>Dolnośląski!E41</f>
        <v>-</v>
      </c>
      <c r="F40" s="139" t="str">
        <f>KujawskoPomorski!E41</f>
        <v>-</v>
      </c>
      <c r="G40" s="139" t="str">
        <f>Lubelski!E41</f>
        <v>-</v>
      </c>
      <c r="H40" s="139" t="str">
        <f>Lubuski!E41</f>
        <v>-</v>
      </c>
      <c r="I40" s="139" t="str">
        <f>Łódzki!E41</f>
        <v>-</v>
      </c>
      <c r="J40" s="139" t="str">
        <f>Małopolski!E41</f>
        <v>-</v>
      </c>
      <c r="K40" s="139" t="str">
        <f>Mazowiecki!E41</f>
        <v>-</v>
      </c>
      <c r="L40" s="139" t="str">
        <f>Opolski!E41</f>
        <v>-</v>
      </c>
      <c r="M40" s="139" t="str">
        <f>Podkarpacki!E41</f>
        <v>-</v>
      </c>
      <c r="N40" s="139" t="str">
        <f>Podlaski!E41</f>
        <v>-</v>
      </c>
      <c r="O40" s="139" t="str">
        <f>Pomorski!E41</f>
        <v>-</v>
      </c>
      <c r="P40" s="139" t="str">
        <f>Śląski!E41</f>
        <v>-</v>
      </c>
      <c r="Q40" s="139" t="str">
        <f>Świętokrzyski!E41</f>
        <v>-</v>
      </c>
      <c r="R40" s="139" t="str">
        <f>WarmińskoMazurski!E41</f>
        <v>-</v>
      </c>
      <c r="S40" s="139" t="str">
        <f>Wielkopolski!E41</f>
        <v>-</v>
      </c>
      <c r="T40" s="139" t="str">
        <f>Zachodniopomorski!E41</f>
        <v>-</v>
      </c>
    </row>
    <row r="41" spans="1:20" ht="22.5" hidden="1">
      <c r="A41" s="42" t="s">
        <v>26</v>
      </c>
      <c r="B41" s="52" t="s">
        <v>61</v>
      </c>
      <c r="C41" s="139" t="str">
        <f>CENTRALA!E42</f>
        <v>-</v>
      </c>
      <c r="D41" s="135">
        <f t="shared" si="0"/>
        <v>0</v>
      </c>
      <c r="E41" s="139" t="str">
        <f>Dolnośląski!E42</f>
        <v>-</v>
      </c>
      <c r="F41" s="139" t="str">
        <f>KujawskoPomorski!E42</f>
        <v>-</v>
      </c>
      <c r="G41" s="139" t="str">
        <f>Lubelski!E42</f>
        <v>-</v>
      </c>
      <c r="H41" s="139" t="str">
        <f>Lubuski!E42</f>
        <v>-</v>
      </c>
      <c r="I41" s="139" t="str">
        <f>Łódzki!E42</f>
        <v>-</v>
      </c>
      <c r="J41" s="139" t="str">
        <f>Małopolski!E42</f>
        <v>-</v>
      </c>
      <c r="K41" s="139" t="str">
        <f>Mazowiecki!E42</f>
        <v>-</v>
      </c>
      <c r="L41" s="139" t="str">
        <f>Opolski!E42</f>
        <v>-</v>
      </c>
      <c r="M41" s="139" t="str">
        <f>Podkarpacki!E42</f>
        <v>-</v>
      </c>
      <c r="N41" s="139" t="str">
        <f>Podlaski!E42</f>
        <v>-</v>
      </c>
      <c r="O41" s="139" t="str">
        <f>Pomorski!E42</f>
        <v>-</v>
      </c>
      <c r="P41" s="139" t="str">
        <f>Śląski!E42</f>
        <v>-</v>
      </c>
      <c r="Q41" s="139" t="str">
        <f>Świętokrzyski!E42</f>
        <v>-</v>
      </c>
      <c r="R41" s="139" t="str">
        <f>WarmińskoMazurski!E42</f>
        <v>-</v>
      </c>
      <c r="S41" s="139" t="str">
        <f>Wielkopolski!E42</f>
        <v>-</v>
      </c>
      <c r="T41" s="139" t="str">
        <f>Zachodniopomorski!E42</f>
        <v>-</v>
      </c>
    </row>
    <row r="42" spans="1:20" ht="22.5" hidden="1">
      <c r="A42" s="53" t="s">
        <v>56</v>
      </c>
      <c r="B42" s="54" t="s">
        <v>52</v>
      </c>
      <c r="C42" s="139" t="str">
        <f>CENTRALA!E43</f>
        <v>-</v>
      </c>
      <c r="D42" s="135">
        <f t="shared" si="0"/>
        <v>0</v>
      </c>
      <c r="E42" s="139" t="str">
        <f>Dolnośląski!E43</f>
        <v>-</v>
      </c>
      <c r="F42" s="139" t="str">
        <f>KujawskoPomorski!E43</f>
        <v>-</v>
      </c>
      <c r="G42" s="139" t="str">
        <f>Lubelski!E43</f>
        <v>-</v>
      </c>
      <c r="H42" s="139" t="str">
        <f>Lubuski!E43</f>
        <v>-</v>
      </c>
      <c r="I42" s="139" t="str">
        <f>Łódzki!E43</f>
        <v>-</v>
      </c>
      <c r="J42" s="139" t="str">
        <f>Małopolski!E43</f>
        <v>-</v>
      </c>
      <c r="K42" s="139" t="str">
        <f>Mazowiecki!E43</f>
        <v>-</v>
      </c>
      <c r="L42" s="139" t="str">
        <f>Opolski!E43</f>
        <v>-</v>
      </c>
      <c r="M42" s="139" t="str">
        <f>Podkarpacki!E43</f>
        <v>-</v>
      </c>
      <c r="N42" s="139" t="str">
        <f>Podlaski!E43</f>
        <v>-</v>
      </c>
      <c r="O42" s="139" t="str">
        <f>Pomorski!E43</f>
        <v>-</v>
      </c>
      <c r="P42" s="139" t="str">
        <f>Śląski!E43</f>
        <v>-</v>
      </c>
      <c r="Q42" s="139" t="str">
        <f>Świętokrzyski!E43</f>
        <v>-</v>
      </c>
      <c r="R42" s="139" t="str">
        <f>WarmińskoMazurski!E43</f>
        <v>-</v>
      </c>
      <c r="S42" s="139" t="str">
        <f>Wielkopolski!E43</f>
        <v>-</v>
      </c>
      <c r="T42" s="139" t="str">
        <f>Zachodniopomorski!E43</f>
        <v>-</v>
      </c>
    </row>
    <row r="43" spans="1:20" ht="22.5" hidden="1">
      <c r="A43" s="53" t="s">
        <v>57</v>
      </c>
      <c r="B43" s="54" t="s">
        <v>53</v>
      </c>
      <c r="C43" s="139" t="str">
        <f>CENTRALA!E44</f>
        <v>-</v>
      </c>
      <c r="D43" s="135">
        <f t="shared" si="0"/>
        <v>0</v>
      </c>
      <c r="E43" s="139" t="str">
        <f>Dolnośląski!E44</f>
        <v>-</v>
      </c>
      <c r="F43" s="139" t="str">
        <f>KujawskoPomorski!E44</f>
        <v>-</v>
      </c>
      <c r="G43" s="139" t="str">
        <f>Lubelski!E44</f>
        <v>-</v>
      </c>
      <c r="H43" s="139" t="str">
        <f>Lubuski!E44</f>
        <v>-</v>
      </c>
      <c r="I43" s="139" t="str">
        <f>Łódzki!E44</f>
        <v>-</v>
      </c>
      <c r="J43" s="139" t="str">
        <f>Małopolski!E44</f>
        <v>-</v>
      </c>
      <c r="K43" s="139" t="str">
        <f>Mazowiecki!E44</f>
        <v>-</v>
      </c>
      <c r="L43" s="139" t="str">
        <f>Opolski!E44</f>
        <v>-</v>
      </c>
      <c r="M43" s="139" t="str">
        <f>Podkarpacki!E44</f>
        <v>-</v>
      </c>
      <c r="N43" s="139" t="str">
        <f>Podlaski!E44</f>
        <v>-</v>
      </c>
      <c r="O43" s="139" t="str">
        <f>Pomorski!E44</f>
        <v>-</v>
      </c>
      <c r="P43" s="139" t="str">
        <f>Śląski!E44</f>
        <v>-</v>
      </c>
      <c r="Q43" s="139" t="str">
        <f>Świętokrzyski!E44</f>
        <v>-</v>
      </c>
      <c r="R43" s="139" t="str">
        <f>WarmińskoMazurski!E44</f>
        <v>-</v>
      </c>
      <c r="S43" s="139" t="str">
        <f>Wielkopolski!E44</f>
        <v>-</v>
      </c>
      <c r="T43" s="139" t="str">
        <f>Zachodniopomorski!E44</f>
        <v>-</v>
      </c>
    </row>
    <row r="44" spans="1:20" ht="22.5" hidden="1">
      <c r="A44" s="53" t="s">
        <v>58</v>
      </c>
      <c r="B44" s="54" t="s">
        <v>54</v>
      </c>
      <c r="C44" s="139" t="str">
        <f>CENTRALA!E45</f>
        <v>-</v>
      </c>
      <c r="D44" s="135">
        <f t="shared" si="0"/>
        <v>0</v>
      </c>
      <c r="E44" s="139" t="str">
        <f>Dolnośląski!E45</f>
        <v>-</v>
      </c>
      <c r="F44" s="139" t="str">
        <f>KujawskoPomorski!E45</f>
        <v>-</v>
      </c>
      <c r="G44" s="139" t="str">
        <f>Lubelski!E45</f>
        <v>-</v>
      </c>
      <c r="H44" s="139" t="str">
        <f>Lubuski!E45</f>
        <v>-</v>
      </c>
      <c r="I44" s="139" t="str">
        <f>Łódzki!E45</f>
        <v>-</v>
      </c>
      <c r="J44" s="139" t="str">
        <f>Małopolski!E45</f>
        <v>-</v>
      </c>
      <c r="K44" s="139" t="str">
        <f>Mazowiecki!E45</f>
        <v>-</v>
      </c>
      <c r="L44" s="139" t="str">
        <f>Opolski!E45</f>
        <v>-</v>
      </c>
      <c r="M44" s="139" t="str">
        <f>Podkarpacki!E45</f>
        <v>-</v>
      </c>
      <c r="N44" s="139" t="str">
        <f>Podlaski!E45</f>
        <v>-</v>
      </c>
      <c r="O44" s="139" t="str">
        <f>Pomorski!E45</f>
        <v>-</v>
      </c>
      <c r="P44" s="139" t="str">
        <f>Śląski!E45</f>
        <v>-</v>
      </c>
      <c r="Q44" s="139" t="str">
        <f>Świętokrzyski!E45</f>
        <v>-</v>
      </c>
      <c r="R44" s="139" t="str">
        <f>WarmińskoMazurski!E45</f>
        <v>-</v>
      </c>
      <c r="S44" s="139" t="str">
        <f>Wielkopolski!E45</f>
        <v>-</v>
      </c>
      <c r="T44" s="139" t="str">
        <f>Zachodniopomorski!E45</f>
        <v>-</v>
      </c>
    </row>
    <row r="45" spans="1:20" ht="22.5" hidden="1">
      <c r="A45" s="53" t="s">
        <v>59</v>
      </c>
      <c r="B45" s="54" t="s">
        <v>55</v>
      </c>
      <c r="C45" s="139" t="str">
        <f>CENTRALA!E46</f>
        <v>-</v>
      </c>
      <c r="D45" s="135">
        <f t="shared" si="0"/>
        <v>0</v>
      </c>
      <c r="E45" s="139" t="str">
        <f>Dolnośląski!E46</f>
        <v>-</v>
      </c>
      <c r="F45" s="139" t="str">
        <f>KujawskoPomorski!E46</f>
        <v>-</v>
      </c>
      <c r="G45" s="139" t="str">
        <f>Lubelski!E46</f>
        <v>-</v>
      </c>
      <c r="H45" s="139" t="str">
        <f>Lubuski!E46</f>
        <v>-</v>
      </c>
      <c r="I45" s="139" t="str">
        <f>Łódzki!E46</f>
        <v>-</v>
      </c>
      <c r="J45" s="139" t="str">
        <f>Małopolski!E46</f>
        <v>-</v>
      </c>
      <c r="K45" s="139" t="str">
        <f>Mazowiecki!E46</f>
        <v>-</v>
      </c>
      <c r="L45" s="139" t="str">
        <f>Opolski!E46</f>
        <v>-</v>
      </c>
      <c r="M45" s="139" t="str">
        <f>Podkarpacki!E46</f>
        <v>-</v>
      </c>
      <c r="N45" s="139" t="str">
        <f>Podlaski!E46</f>
        <v>-</v>
      </c>
      <c r="O45" s="139" t="str">
        <f>Pomorski!E46</f>
        <v>-</v>
      </c>
      <c r="P45" s="139" t="str">
        <f>Śląski!E46</f>
        <v>-</v>
      </c>
      <c r="Q45" s="139" t="str">
        <f>Świętokrzyski!E46</f>
        <v>-</v>
      </c>
      <c r="R45" s="139" t="str">
        <f>WarmińskoMazurski!E46</f>
        <v>-</v>
      </c>
      <c r="S45" s="139" t="str">
        <f>Wielkopolski!E46</f>
        <v>-</v>
      </c>
      <c r="T45" s="139" t="str">
        <f>Zachodniopomorski!E46</f>
        <v>-</v>
      </c>
    </row>
    <row r="46" spans="1:20" ht="22.5" hidden="1">
      <c r="A46" s="42" t="s">
        <v>27</v>
      </c>
      <c r="B46" s="51" t="s">
        <v>28</v>
      </c>
      <c r="C46" s="139" t="str">
        <f>CENTRALA!E47</f>
        <v>-</v>
      </c>
      <c r="D46" s="135">
        <f t="shared" si="0"/>
        <v>0</v>
      </c>
      <c r="E46" s="139" t="str">
        <f>Dolnośląski!E47</f>
        <v>-</v>
      </c>
      <c r="F46" s="139" t="str">
        <f>KujawskoPomorski!E47</f>
        <v>-</v>
      </c>
      <c r="G46" s="139" t="str">
        <f>Lubelski!E47</f>
        <v>-</v>
      </c>
      <c r="H46" s="139" t="str">
        <f>Lubuski!E47</f>
        <v>-</v>
      </c>
      <c r="I46" s="139" t="str">
        <f>Łódzki!E47</f>
        <v>-</v>
      </c>
      <c r="J46" s="139" t="str">
        <f>Małopolski!E47</f>
        <v>-</v>
      </c>
      <c r="K46" s="139" t="str">
        <f>Mazowiecki!E47</f>
        <v>-</v>
      </c>
      <c r="L46" s="139" t="str">
        <f>Opolski!E47</f>
        <v>-</v>
      </c>
      <c r="M46" s="139" t="str">
        <f>Podkarpacki!E47</f>
        <v>-</v>
      </c>
      <c r="N46" s="139" t="str">
        <f>Podlaski!E47</f>
        <v>-</v>
      </c>
      <c r="O46" s="139" t="str">
        <f>Pomorski!E47</f>
        <v>-</v>
      </c>
      <c r="P46" s="139" t="str">
        <f>Śląski!E47</f>
        <v>-</v>
      </c>
      <c r="Q46" s="139" t="str">
        <f>Świętokrzyski!E47</f>
        <v>-</v>
      </c>
      <c r="R46" s="139" t="str">
        <f>WarmińskoMazurski!E47</f>
        <v>-</v>
      </c>
      <c r="S46" s="139" t="str">
        <f>Wielkopolski!E47</f>
        <v>-</v>
      </c>
      <c r="T46" s="139" t="str">
        <f>Zachodniopomorski!E47</f>
        <v>-</v>
      </c>
    </row>
    <row r="47" spans="1:20" ht="40.5" hidden="1">
      <c r="A47" s="42" t="s">
        <v>29</v>
      </c>
      <c r="B47" s="51" t="s">
        <v>116</v>
      </c>
      <c r="C47" s="139" t="str">
        <f>CENTRALA!E48</f>
        <v>-</v>
      </c>
      <c r="D47" s="135">
        <f t="shared" si="0"/>
        <v>0</v>
      </c>
      <c r="E47" s="139" t="str">
        <f>Dolnośląski!E48</f>
        <v>-</v>
      </c>
      <c r="F47" s="139" t="str">
        <f>KujawskoPomorski!E48</f>
        <v>-</v>
      </c>
      <c r="G47" s="139" t="str">
        <f>Lubelski!E48</f>
        <v>-</v>
      </c>
      <c r="H47" s="139" t="str">
        <f>Lubuski!E48</f>
        <v>-</v>
      </c>
      <c r="I47" s="139" t="str">
        <f>Łódzki!E48</f>
        <v>-</v>
      </c>
      <c r="J47" s="139" t="str">
        <f>Małopolski!E48</f>
        <v>-</v>
      </c>
      <c r="K47" s="139" t="str">
        <f>Mazowiecki!E48</f>
        <v>-</v>
      </c>
      <c r="L47" s="139" t="str">
        <f>Opolski!E48</f>
        <v>-</v>
      </c>
      <c r="M47" s="139" t="str">
        <f>Podkarpacki!E48</f>
        <v>-</v>
      </c>
      <c r="N47" s="139" t="str">
        <f>Podlaski!E48</f>
        <v>-</v>
      </c>
      <c r="O47" s="139" t="str">
        <f>Pomorski!E48</f>
        <v>-</v>
      </c>
      <c r="P47" s="139" t="str">
        <f>Śląski!E48</f>
        <v>-</v>
      </c>
      <c r="Q47" s="139" t="str">
        <f>Świętokrzyski!E48</f>
        <v>-</v>
      </c>
      <c r="R47" s="139" t="str">
        <f>WarmińskoMazurski!E48</f>
        <v>-</v>
      </c>
      <c r="S47" s="139" t="str">
        <f>Wielkopolski!E48</f>
        <v>-</v>
      </c>
      <c r="T47" s="139" t="str">
        <f>Zachodniopomorski!E48</f>
        <v>-</v>
      </c>
    </row>
    <row r="48" spans="1:20" ht="40.5" hidden="1">
      <c r="A48" s="42" t="s">
        <v>30</v>
      </c>
      <c r="B48" s="51" t="s">
        <v>31</v>
      </c>
      <c r="C48" s="139" t="str">
        <f>CENTRALA!E49</f>
        <v>-</v>
      </c>
      <c r="D48" s="135">
        <f t="shared" si="0"/>
        <v>0</v>
      </c>
      <c r="E48" s="139" t="str">
        <f>Dolnośląski!E49</f>
        <v>-</v>
      </c>
      <c r="F48" s="139" t="str">
        <f>KujawskoPomorski!E49</f>
        <v>-</v>
      </c>
      <c r="G48" s="139" t="str">
        <f>Lubelski!E49</f>
        <v>-</v>
      </c>
      <c r="H48" s="139" t="str">
        <f>Lubuski!E49</f>
        <v>-</v>
      </c>
      <c r="I48" s="139" t="str">
        <f>Łódzki!E49</f>
        <v>-</v>
      </c>
      <c r="J48" s="139" t="str">
        <f>Małopolski!E49</f>
        <v>-</v>
      </c>
      <c r="K48" s="139" t="str">
        <f>Mazowiecki!E49</f>
        <v>-</v>
      </c>
      <c r="L48" s="139" t="str">
        <f>Opolski!E49</f>
        <v>-</v>
      </c>
      <c r="M48" s="139" t="str">
        <f>Podkarpacki!E49</f>
        <v>-</v>
      </c>
      <c r="N48" s="139" t="str">
        <f>Podlaski!E49</f>
        <v>-</v>
      </c>
      <c r="O48" s="139" t="str">
        <f>Pomorski!E49</f>
        <v>-</v>
      </c>
      <c r="P48" s="139" t="str">
        <f>Śląski!E49</f>
        <v>-</v>
      </c>
      <c r="Q48" s="139" t="str">
        <f>Świętokrzyski!E49</f>
        <v>-</v>
      </c>
      <c r="R48" s="139" t="str">
        <f>WarmińskoMazurski!E49</f>
        <v>-</v>
      </c>
      <c r="S48" s="139" t="str">
        <f>Wielkopolski!E49</f>
        <v>-</v>
      </c>
      <c r="T48" s="139" t="str">
        <f>Zachodniopomorski!E49</f>
        <v>-</v>
      </c>
    </row>
    <row r="49" spans="1:20" ht="22.5" hidden="1">
      <c r="A49" s="42" t="s">
        <v>32</v>
      </c>
      <c r="B49" s="51" t="s">
        <v>33</v>
      </c>
      <c r="C49" s="139" t="str">
        <f>CENTRALA!E50</f>
        <v>-</v>
      </c>
      <c r="D49" s="135">
        <f t="shared" si="0"/>
        <v>0</v>
      </c>
      <c r="E49" s="139" t="str">
        <f>Dolnośląski!E50</f>
        <v>-</v>
      </c>
      <c r="F49" s="139" t="str">
        <f>KujawskoPomorski!E50</f>
        <v>-</v>
      </c>
      <c r="G49" s="139" t="str">
        <f>Lubelski!E50</f>
        <v>-</v>
      </c>
      <c r="H49" s="139" t="str">
        <f>Lubuski!E50</f>
        <v>-</v>
      </c>
      <c r="I49" s="139" t="str">
        <f>Łódzki!E50</f>
        <v>-</v>
      </c>
      <c r="J49" s="139" t="str">
        <f>Małopolski!E50</f>
        <v>-</v>
      </c>
      <c r="K49" s="139" t="str">
        <f>Mazowiecki!E50</f>
        <v>-</v>
      </c>
      <c r="L49" s="139" t="str">
        <f>Opolski!E50</f>
        <v>-</v>
      </c>
      <c r="M49" s="139" t="str">
        <f>Podkarpacki!E50</f>
        <v>-</v>
      </c>
      <c r="N49" s="139" t="str">
        <f>Podlaski!E50</f>
        <v>-</v>
      </c>
      <c r="O49" s="139" t="str">
        <f>Pomorski!E50</f>
        <v>-</v>
      </c>
      <c r="P49" s="139" t="str">
        <f>Śląski!E50</f>
        <v>-</v>
      </c>
      <c r="Q49" s="139" t="str">
        <f>Świętokrzyski!E50</f>
        <v>-</v>
      </c>
      <c r="R49" s="139" t="str">
        <f>WarmińskoMazurski!E50</f>
        <v>-</v>
      </c>
      <c r="S49" s="139" t="str">
        <f>Wielkopolski!E50</f>
        <v>-</v>
      </c>
      <c r="T49" s="139" t="str">
        <f>Zachodniopomorski!E50</f>
        <v>-</v>
      </c>
    </row>
    <row r="50" spans="1:20" ht="22.5">
      <c r="A50" s="143" t="s">
        <v>34</v>
      </c>
      <c r="B50" s="144" t="s">
        <v>174</v>
      </c>
      <c r="C50" s="145">
        <f>CENTRALA!E51</f>
        <v>19551</v>
      </c>
      <c r="D50" s="146">
        <f aca="true" t="shared" si="1" ref="D50:D55">SUM(E50:T50)</f>
        <v>5211</v>
      </c>
      <c r="E50" s="145">
        <f>Dolnośląski!E51</f>
        <v>357</v>
      </c>
      <c r="F50" s="145">
        <f>KujawskoPomorski!E51</f>
        <v>37570</v>
      </c>
      <c r="G50" s="145">
        <f>Lubelski!E51</f>
        <v>6858</v>
      </c>
      <c r="H50" s="145">
        <f>Lubuski!E51</f>
        <v>-5650</v>
      </c>
      <c r="I50" s="145">
        <f>Łódzki!E51</f>
        <v>-9664</v>
      </c>
      <c r="J50" s="145">
        <f>Małopolski!E51</f>
        <v>-4823</v>
      </c>
      <c r="K50" s="145">
        <f>Mazowiecki!E51</f>
        <v>-1592</v>
      </c>
      <c r="L50" s="145">
        <f>Opolski!E51</f>
        <v>-5050</v>
      </c>
      <c r="M50" s="145" t="str">
        <f>Podkarpacki!E51</f>
        <v>-</v>
      </c>
      <c r="N50" s="145">
        <f>Podlaski!E51</f>
        <v>5146</v>
      </c>
      <c r="O50" s="145">
        <f>Pomorski!E51</f>
        <v>-5503</v>
      </c>
      <c r="P50" s="145">
        <f>Śląski!E51</f>
        <v>-2650</v>
      </c>
      <c r="Q50" s="145">
        <f>Świętokrzyski!E51</f>
        <v>1152</v>
      </c>
      <c r="R50" s="145" t="str">
        <f>WarmińskoMazurski!E51</f>
        <v>-</v>
      </c>
      <c r="S50" s="145">
        <f>Wielkopolski!E51</f>
        <v>-2029</v>
      </c>
      <c r="T50" s="145">
        <f>Zachodniopomorski!E51</f>
        <v>-8911</v>
      </c>
    </row>
    <row r="51" spans="1:20" ht="40.5">
      <c r="A51" s="42" t="s">
        <v>119</v>
      </c>
      <c r="B51" s="51" t="s">
        <v>144</v>
      </c>
      <c r="C51" s="139" t="str">
        <f>CENTRALA!E52</f>
        <v>-</v>
      </c>
      <c r="D51" s="135">
        <f t="shared" si="1"/>
        <v>-5573</v>
      </c>
      <c r="E51" s="139">
        <f>Dolnośląski!E52</f>
        <v>7</v>
      </c>
      <c r="F51" s="139">
        <f>KujawskoPomorski!E52</f>
        <v>-467</v>
      </c>
      <c r="G51" s="139">
        <f>Lubelski!E52</f>
        <v>-48</v>
      </c>
      <c r="H51" s="139">
        <f>Lubuski!E52</f>
        <v>-987</v>
      </c>
      <c r="I51" s="139">
        <f>Łódzki!E52</f>
        <v>-447</v>
      </c>
      <c r="J51" s="139">
        <f>Małopolski!E52</f>
        <v>-30</v>
      </c>
      <c r="K51" s="139">
        <f>Mazowiecki!E52</f>
        <v>-1592</v>
      </c>
      <c r="L51" s="139" t="str">
        <f>Opolski!E52</f>
        <v>-</v>
      </c>
      <c r="M51" s="139">
        <f>Podkarpacki!E52</f>
        <v>-200</v>
      </c>
      <c r="N51" s="139">
        <f>Podlaski!E52</f>
        <v>-173</v>
      </c>
      <c r="O51" s="139" t="str">
        <f>Pomorski!E52</f>
        <v>-</v>
      </c>
      <c r="P51" s="139">
        <f>Śląski!E52</f>
        <v>-218</v>
      </c>
      <c r="Q51" s="139" t="str">
        <f>Świętokrzyski!E52</f>
        <v>-</v>
      </c>
      <c r="R51" s="139">
        <f>WarmińskoMazurski!E52</f>
        <v>-195</v>
      </c>
      <c r="S51" s="139">
        <f>Wielkopolski!E52</f>
        <v>-1220</v>
      </c>
      <c r="T51" s="139">
        <f>Zachodniopomorski!E52</f>
        <v>-3</v>
      </c>
    </row>
    <row r="52" spans="1:22" ht="22.5">
      <c r="A52" s="42" t="s">
        <v>35</v>
      </c>
      <c r="B52" s="51" t="s">
        <v>63</v>
      </c>
      <c r="C52" s="139">
        <f>CENTRALA!E53</f>
        <v>900</v>
      </c>
      <c r="D52" s="135">
        <f t="shared" si="1"/>
        <v>12934</v>
      </c>
      <c r="E52" s="139" t="str">
        <f>Dolnośląski!E53</f>
        <v>-</v>
      </c>
      <c r="F52" s="139">
        <f>KujawskoPomorski!E53</f>
        <v>37975</v>
      </c>
      <c r="G52" s="139">
        <f>Lubelski!E53</f>
        <v>7300</v>
      </c>
      <c r="H52" s="139">
        <f>Lubuski!E53</f>
        <v>-4663</v>
      </c>
      <c r="I52" s="139">
        <f>Łódzki!E53</f>
        <v>-8693</v>
      </c>
      <c r="J52" s="139">
        <f>Małopolski!E53</f>
        <v>-6493</v>
      </c>
      <c r="K52" s="139" t="str">
        <f>Mazowiecki!E53</f>
        <v>-</v>
      </c>
      <c r="L52" s="139">
        <f>Opolski!E53</f>
        <v>-5000</v>
      </c>
      <c r="M52" s="139" t="str">
        <f>Podkarpacki!E53</f>
        <v>-</v>
      </c>
      <c r="N52" s="139">
        <f>Podlaski!E53</f>
        <v>5212</v>
      </c>
      <c r="O52" s="139">
        <f>Pomorski!E53</f>
        <v>-4403</v>
      </c>
      <c r="P52" s="139">
        <f>Śląski!E53</f>
        <v>-2432</v>
      </c>
      <c r="Q52" s="139">
        <f>Świętokrzyski!E53</f>
        <v>1002</v>
      </c>
      <c r="R52" s="139">
        <f>WarmińskoMazurski!E53</f>
        <v>-415</v>
      </c>
      <c r="S52" s="139">
        <f>Wielkopolski!E53</f>
        <v>2336</v>
      </c>
      <c r="T52" s="139">
        <f>Zachodniopomorski!E53</f>
        <v>-8792</v>
      </c>
      <c r="U52" s="141">
        <f>F52+G52+N52+Q52+S52</f>
        <v>53825</v>
      </c>
      <c r="V52" s="141">
        <f>H52+I52+J52+L52+O52+P52+R52+T52</f>
        <v>-40891</v>
      </c>
    </row>
    <row r="53" spans="1:20" ht="22.5">
      <c r="A53" s="42" t="s">
        <v>36</v>
      </c>
      <c r="B53" s="51" t="s">
        <v>121</v>
      </c>
      <c r="C53" s="139" t="str">
        <f>CENTRALA!E54</f>
        <v>-</v>
      </c>
      <c r="D53" s="135">
        <f t="shared" si="1"/>
        <v>0</v>
      </c>
      <c r="E53" s="139" t="str">
        <f>Dolnośląski!E54</f>
        <v>-</v>
      </c>
      <c r="F53" s="139" t="str">
        <f>KujawskoPomorski!E54</f>
        <v>-</v>
      </c>
      <c r="G53" s="139" t="str">
        <f>Lubelski!E54</f>
        <v>-</v>
      </c>
      <c r="H53" s="139" t="str">
        <f>Lubuski!E54</f>
        <v>-</v>
      </c>
      <c r="I53" s="139" t="str">
        <f>Łódzki!E54</f>
        <v>-</v>
      </c>
      <c r="J53" s="139" t="str">
        <f>Małopolski!E54</f>
        <v>-</v>
      </c>
      <c r="K53" s="139" t="str">
        <f>Mazowiecki!E54</f>
        <v>-</v>
      </c>
      <c r="L53" s="139" t="str">
        <f>Opolski!E54</f>
        <v>-</v>
      </c>
      <c r="M53" s="139" t="str">
        <f>Podkarpacki!E54</f>
        <v>-</v>
      </c>
      <c r="N53" s="139" t="str">
        <f>Podlaski!E54</f>
        <v>-</v>
      </c>
      <c r="O53" s="139" t="str">
        <f>Pomorski!E54</f>
        <v>-</v>
      </c>
      <c r="P53" s="139" t="str">
        <f>Śląski!E54</f>
        <v>-</v>
      </c>
      <c r="Q53" s="139" t="str">
        <f>Świętokrzyski!E54</f>
        <v>-</v>
      </c>
      <c r="R53" s="139" t="str">
        <f>WarmińskoMazurski!E54</f>
        <v>-</v>
      </c>
      <c r="S53" s="139" t="str">
        <f>Wielkopolski!E54</f>
        <v>-</v>
      </c>
      <c r="T53" s="139" t="str">
        <f>Zachodniopomorski!E54</f>
        <v>-</v>
      </c>
    </row>
    <row r="54" spans="1:20" ht="22.5">
      <c r="A54" s="42" t="s">
        <v>120</v>
      </c>
      <c r="B54" s="51" t="s">
        <v>122</v>
      </c>
      <c r="C54" s="139">
        <f>CENTRALA!E55</f>
        <v>18651</v>
      </c>
      <c r="D54" s="135">
        <f t="shared" si="1"/>
        <v>-2150</v>
      </c>
      <c r="E54" s="139">
        <f>Dolnośląski!E55</f>
        <v>350</v>
      </c>
      <c r="F54" s="139">
        <f>KujawskoPomorski!E55</f>
        <v>62</v>
      </c>
      <c r="G54" s="139">
        <f>Lubelski!E55</f>
        <v>-394</v>
      </c>
      <c r="H54" s="139" t="str">
        <f>Lubuski!E55</f>
        <v>-</v>
      </c>
      <c r="I54" s="139">
        <f>Łódzki!E55</f>
        <v>-524</v>
      </c>
      <c r="J54" s="139">
        <f>Małopolski!E55</f>
        <v>1700</v>
      </c>
      <c r="K54" s="139" t="str">
        <f>Mazowiecki!E55</f>
        <v>-</v>
      </c>
      <c r="L54" s="139">
        <f>Opolski!E55</f>
        <v>-50</v>
      </c>
      <c r="M54" s="139">
        <f>Podkarpacki!E55</f>
        <v>200</v>
      </c>
      <c r="N54" s="139">
        <f>Podlaski!E55</f>
        <v>107</v>
      </c>
      <c r="O54" s="139">
        <f>Pomorski!E55</f>
        <v>-1100</v>
      </c>
      <c r="P54" s="139" t="str">
        <f>Śląski!E55</f>
        <v>-</v>
      </c>
      <c r="Q54" s="139">
        <f>Świętokrzyski!E55</f>
        <v>150</v>
      </c>
      <c r="R54" s="139">
        <f>WarmińskoMazurski!E55</f>
        <v>610</v>
      </c>
      <c r="S54" s="139">
        <f>Wielkopolski!E55</f>
        <v>-3145</v>
      </c>
      <c r="T54" s="139">
        <f>Zachodniopomorski!E55</f>
        <v>-116</v>
      </c>
    </row>
    <row r="55" spans="1:20" ht="22.5">
      <c r="A55" s="143" t="s">
        <v>127</v>
      </c>
      <c r="B55" s="144" t="s">
        <v>154</v>
      </c>
      <c r="C55" s="145" t="str">
        <f>CENTRALA!E56</f>
        <v>-</v>
      </c>
      <c r="D55" s="146">
        <f t="shared" si="1"/>
        <v>66173</v>
      </c>
      <c r="E55" s="145">
        <f>Dolnośląski!E56</f>
        <v>1356</v>
      </c>
      <c r="F55" s="145">
        <f>KujawskoPomorski!E56</f>
        <v>31310</v>
      </c>
      <c r="G55" s="145">
        <f>Lubelski!E56</f>
        <v>-7300</v>
      </c>
      <c r="H55" s="145">
        <f>Lubuski!E56</f>
        <v>-66</v>
      </c>
      <c r="I55" s="145">
        <f>Łódzki!E56</f>
        <v>2338</v>
      </c>
      <c r="J55" s="145">
        <f>Małopolski!E56</f>
        <v>4823</v>
      </c>
      <c r="K55" s="145">
        <f>Mazowiecki!E56</f>
        <v>18500</v>
      </c>
      <c r="L55" s="145">
        <f>Opolski!E56</f>
        <v>5</v>
      </c>
      <c r="M55" s="145" t="str">
        <f>Podkarpacki!E56</f>
        <v>-</v>
      </c>
      <c r="N55" s="145">
        <f>Podlaski!E56</f>
        <v>307</v>
      </c>
      <c r="O55" s="145">
        <f>Pomorski!E56</f>
        <v>3234</v>
      </c>
      <c r="P55" s="145" t="str">
        <f>Śląski!E56</f>
        <v>-</v>
      </c>
      <c r="Q55" s="145" t="str">
        <f>Świętokrzyski!E56</f>
        <v>-</v>
      </c>
      <c r="R55" s="145" t="str">
        <f>WarmińskoMazurski!E56</f>
        <v>-</v>
      </c>
      <c r="S55" s="145">
        <f>Wielkopolski!E56</f>
        <v>11643</v>
      </c>
      <c r="T55" s="145">
        <f>Zachodniopomorski!E56</f>
        <v>23</v>
      </c>
    </row>
  </sheetData>
  <sheetProtection/>
  <mergeCells count="1">
    <mergeCell ref="A1:F1"/>
  </mergeCells>
  <printOptions/>
  <pageMargins left="0" right="0" top="0" bottom="0" header="0.31496062992125984" footer="0.31496062992125984"/>
  <pageSetup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showGridLines="0" zoomScale="55" zoomScaleNormal="55" zoomScaleSheetLayoutView="55" zoomScalePageLayoutView="0" workbookViewId="0" topLeftCell="A1">
      <pane xSplit="2" ySplit="7" topLeftCell="C20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25390625" style="2" bestFit="1" customWidth="1"/>
    <col min="2" max="2" width="125.75390625" style="2" customWidth="1"/>
    <col min="3" max="4" width="24.75390625" style="2" customWidth="1"/>
    <col min="5" max="5" width="22.625" style="2" customWidth="1"/>
    <col min="6" max="6" width="20.125" style="2" customWidth="1"/>
    <col min="7" max="7" width="19.25390625" style="2" customWidth="1"/>
    <col min="8" max="8" width="23.125" style="2" customWidth="1"/>
    <col min="9" max="12" width="9.125" style="2" customWidth="1"/>
    <col min="13" max="13" width="11.375" style="129" bestFit="1" customWidth="1"/>
    <col min="14" max="16384" width="9.125" style="2" customWidth="1"/>
  </cols>
  <sheetData>
    <row r="1" spans="1:13" s="59" customFormat="1" ht="30" customHeight="1">
      <c r="A1" s="162" t="str">
        <f>NFZ!A1</f>
        <v>ZMIANA PLANU FINANSOWEGO NARODOWEGO FUNDUSZU ZDROWIA NA 2010 ROK Z 16 GRUDNIA 2010 R.</v>
      </c>
      <c r="B1" s="162"/>
      <c r="C1" s="162"/>
      <c r="D1" s="162"/>
      <c r="E1" s="162"/>
      <c r="F1" s="162"/>
      <c r="M1" s="127"/>
    </row>
    <row r="2" spans="1:13" s="60" customFormat="1" ht="30.75" customHeight="1">
      <c r="A2" s="163" t="s">
        <v>88</v>
      </c>
      <c r="B2" s="163"/>
      <c r="C2" s="163"/>
      <c r="M2" s="128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13" s="6" customFormat="1" ht="33" customHeight="1">
      <c r="A4" s="165" t="s">
        <v>164</v>
      </c>
      <c r="B4" s="164" t="s">
        <v>62</v>
      </c>
      <c r="C4" s="160" t="s">
        <v>201</v>
      </c>
      <c r="D4" s="157" t="s">
        <v>158</v>
      </c>
      <c r="E4" s="159" t="s">
        <v>163</v>
      </c>
      <c r="F4" s="159" t="s">
        <v>162</v>
      </c>
      <c r="M4" s="130"/>
    </row>
    <row r="5" spans="1:13" s="6" customFormat="1" ht="33" customHeight="1">
      <c r="A5" s="164"/>
      <c r="B5" s="164"/>
      <c r="C5" s="161"/>
      <c r="D5" s="158"/>
      <c r="E5" s="159"/>
      <c r="F5" s="159"/>
      <c r="M5" s="130"/>
    </row>
    <row r="6" spans="1:13" s="4" customFormat="1" ht="18.75" customHeight="1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  <c r="M6" s="130"/>
    </row>
    <row r="7" spans="1:13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56614998</v>
      </c>
      <c r="D7" s="16">
        <f>D8+D9+D10+D12+D13+D14+D15+D16+D17+D18+D19+D20+D21+D22+D24+D25+D26+D27</f>
        <v>56614998</v>
      </c>
      <c r="E7" s="13" t="str">
        <f>IF(C7=D7,"-",D7-C7)</f>
        <v>-</v>
      </c>
      <c r="F7" s="89">
        <f>IF(C7=0,"-",D7/C7)</f>
        <v>1</v>
      </c>
      <c r="H7" s="138"/>
      <c r="I7" s="124"/>
      <c r="M7" s="131"/>
    </row>
    <row r="8" spans="1:9" ht="31.5" customHeight="1">
      <c r="A8" s="40" t="s">
        <v>1</v>
      </c>
      <c r="B8" s="100" t="s">
        <v>165</v>
      </c>
      <c r="C8" s="36">
        <f>Dolnośląski!C8+KujawskoPomorski!C8+Lubelski!C8+Lubuski!C8+Łódzki!C8+Małopolski!C8+Mazowiecki!C8+Opolski!C8+Podkarpacki!C8+Podlaski!C8+Pomorski!C8+Śląski!C8+Świętokrzyski!C8+WarmińskoMazurski!C8+Wielkopolski!C8+Zachodniopomorski!C8</f>
        <v>7278698</v>
      </c>
      <c r="D8" s="36">
        <f>Dolnośląski!D8+KujawskoPomorski!D8+Lubelski!D8+Lubuski!D8+Łódzki!D8+Małopolski!D8+Mazowiecki!D8+Opolski!D8+Podkarpacki!D8+Podlaski!D8+Pomorski!D8+Śląski!D8+Świętokrzyski!D8+WarmińskoMazurski!D8+Wielkopolski!D8+Zachodniopomorski!D8</f>
        <v>7278698</v>
      </c>
      <c r="E8" s="87" t="str">
        <f aca="true" t="shared" si="0" ref="E8:E46">IF(C8=D8,"-",D8-C8)</f>
        <v>-</v>
      </c>
      <c r="F8" s="88">
        <f aca="true" t="shared" si="1" ref="F8:F46">IF(C8=0,"-",D8/C8)</f>
        <v>1</v>
      </c>
      <c r="H8" s="138"/>
      <c r="I8" s="124"/>
    </row>
    <row r="9" spans="1:9" ht="31.5" customHeight="1">
      <c r="A9" s="40" t="s">
        <v>2</v>
      </c>
      <c r="B9" s="100" t="s">
        <v>166</v>
      </c>
      <c r="C9" s="36">
        <f>Dolnośląski!C9+KujawskoPomorski!C9+Lubelski!C9+Lubuski!C9+Łódzki!C9+Małopolski!C9+Mazowiecki!C9+Opolski!C9+Podkarpacki!C9+Podlaski!C9+Pomorski!C9+Śląski!C9+Świętokrzyski!C9+WarmińskoMazurski!C9+Wielkopolski!C9+Zachodniopomorski!C9</f>
        <v>4240343</v>
      </c>
      <c r="D9" s="36">
        <f>Dolnośląski!D9+KujawskoPomorski!D9+Lubelski!D9+Lubuski!D9+Łódzki!D9+Małopolski!D9+Mazowiecki!D9+Opolski!D9+Podkarpacki!D9+Podlaski!D9+Pomorski!D9+Śląski!D9+Świętokrzyski!D9+WarmińskoMazurski!D9+Wielkopolski!D9+Zachodniopomorski!D9</f>
        <v>4240343</v>
      </c>
      <c r="E9" s="87" t="str">
        <f t="shared" si="0"/>
        <v>-</v>
      </c>
      <c r="F9" s="88">
        <f t="shared" si="1"/>
        <v>1</v>
      </c>
      <c r="H9" s="138"/>
      <c r="I9" s="124"/>
    </row>
    <row r="10" spans="1:9" ht="31.5" customHeight="1">
      <c r="A10" s="40" t="s">
        <v>3</v>
      </c>
      <c r="B10" s="100" t="s">
        <v>157</v>
      </c>
      <c r="C10" s="36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26732035</v>
      </c>
      <c r="D10" s="36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26732035</v>
      </c>
      <c r="E10" s="87" t="str">
        <f t="shared" si="0"/>
        <v>-</v>
      </c>
      <c r="F10" s="88">
        <f t="shared" si="1"/>
        <v>1</v>
      </c>
      <c r="H10" s="138"/>
      <c r="I10" s="124"/>
    </row>
    <row r="11" spans="1:9" ht="31.5" customHeight="1">
      <c r="A11" s="101" t="s">
        <v>64</v>
      </c>
      <c r="B11" s="45" t="s">
        <v>65</v>
      </c>
      <c r="C11" s="36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1572053</v>
      </c>
      <c r="D11" s="36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1572053</v>
      </c>
      <c r="E11" s="87" t="str">
        <f>IF(C11=D11,"-",D11-C11)</f>
        <v>-</v>
      </c>
      <c r="F11" s="88">
        <f>IF(C11=0,"-",D11/C11)</f>
        <v>1</v>
      </c>
      <c r="H11" s="138"/>
      <c r="I11" s="124"/>
    </row>
    <row r="12" spans="1:9" ht="31.5" customHeight="1">
      <c r="A12" s="40" t="s">
        <v>4</v>
      </c>
      <c r="B12" s="100" t="s">
        <v>172</v>
      </c>
      <c r="C12" s="36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1987930</v>
      </c>
      <c r="D12" s="36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1987930</v>
      </c>
      <c r="E12" s="87" t="str">
        <f t="shared" si="0"/>
        <v>-</v>
      </c>
      <c r="F12" s="88">
        <f t="shared" si="1"/>
        <v>1</v>
      </c>
      <c r="H12" s="138"/>
      <c r="I12" s="124"/>
    </row>
    <row r="13" spans="1:9" ht="31.5" customHeight="1">
      <c r="A13" s="40" t="s">
        <v>5</v>
      </c>
      <c r="B13" s="100" t="s">
        <v>167</v>
      </c>
      <c r="C13" s="36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1763671</v>
      </c>
      <c r="D13" s="36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1763671</v>
      </c>
      <c r="E13" s="87" t="str">
        <f t="shared" si="0"/>
        <v>-</v>
      </c>
      <c r="F13" s="88">
        <f t="shared" si="1"/>
        <v>1</v>
      </c>
      <c r="H13" s="138"/>
      <c r="I13" s="124"/>
    </row>
    <row r="14" spans="1:9" ht="31.5" customHeight="1">
      <c r="A14" s="40" t="s">
        <v>6</v>
      </c>
      <c r="B14" s="100" t="s">
        <v>176</v>
      </c>
      <c r="C14" s="36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930959</v>
      </c>
      <c r="D14" s="36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930959</v>
      </c>
      <c r="E14" s="87" t="str">
        <f t="shared" si="0"/>
        <v>-</v>
      </c>
      <c r="F14" s="88">
        <f t="shared" si="1"/>
        <v>1</v>
      </c>
      <c r="H14" s="138"/>
      <c r="I14" s="124"/>
    </row>
    <row r="15" spans="1:9" ht="31.5" customHeight="1">
      <c r="A15" s="40" t="s">
        <v>7</v>
      </c>
      <c r="B15" s="100" t="s">
        <v>175</v>
      </c>
      <c r="C15" s="36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287135</v>
      </c>
      <c r="D15" s="36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287135</v>
      </c>
      <c r="E15" s="87" t="str">
        <f>IF(C15=D15,"-",D15-C15)</f>
        <v>-</v>
      </c>
      <c r="F15" s="88">
        <f>IF(C15=0,"-",D15/C15)</f>
        <v>1</v>
      </c>
      <c r="H15" s="138"/>
      <c r="I15" s="124"/>
    </row>
    <row r="16" spans="1:9" ht="31.5" customHeight="1">
      <c r="A16" s="40" t="s">
        <v>8</v>
      </c>
      <c r="B16" s="100" t="s">
        <v>168</v>
      </c>
      <c r="C16" s="36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1731465</v>
      </c>
      <c r="D16" s="36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1731465</v>
      </c>
      <c r="E16" s="87" t="str">
        <f t="shared" si="0"/>
        <v>-</v>
      </c>
      <c r="F16" s="88">
        <f t="shared" si="1"/>
        <v>1</v>
      </c>
      <c r="H16" s="138"/>
      <c r="I16" s="124"/>
    </row>
    <row r="17" spans="1:9" ht="31.5" customHeight="1">
      <c r="A17" s="40" t="s">
        <v>9</v>
      </c>
      <c r="B17" s="100" t="s">
        <v>169</v>
      </c>
      <c r="C17" s="36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551438</v>
      </c>
      <c r="D17" s="36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551438</v>
      </c>
      <c r="E17" s="87" t="str">
        <f t="shared" si="0"/>
        <v>-</v>
      </c>
      <c r="F17" s="88">
        <f t="shared" si="1"/>
        <v>1</v>
      </c>
      <c r="H17" s="138"/>
      <c r="I17" s="124"/>
    </row>
    <row r="18" spans="1:9" ht="33" customHeight="1">
      <c r="A18" s="40" t="s">
        <v>10</v>
      </c>
      <c r="B18" s="100" t="s">
        <v>177</v>
      </c>
      <c r="C18" s="36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37614</v>
      </c>
      <c r="D18" s="36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37614</v>
      </c>
      <c r="E18" s="87" t="str">
        <f t="shared" si="0"/>
        <v>-</v>
      </c>
      <c r="F18" s="88">
        <f t="shared" si="1"/>
        <v>1</v>
      </c>
      <c r="H18" s="138"/>
      <c r="I18" s="124"/>
    </row>
    <row r="19" spans="1:9" ht="33" customHeight="1">
      <c r="A19" s="40" t="s">
        <v>11</v>
      </c>
      <c r="B19" s="100" t="s">
        <v>170</v>
      </c>
      <c r="C19" s="36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141308</v>
      </c>
      <c r="D19" s="36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141308</v>
      </c>
      <c r="E19" s="87" t="str">
        <f t="shared" si="0"/>
        <v>-</v>
      </c>
      <c r="F19" s="88">
        <f t="shared" si="1"/>
        <v>1</v>
      </c>
      <c r="H19" s="138"/>
      <c r="I19" s="124"/>
    </row>
    <row r="20" spans="1:9" ht="31.5" customHeight="1">
      <c r="A20" s="40" t="s">
        <v>12</v>
      </c>
      <c r="B20" s="100" t="s">
        <v>171</v>
      </c>
      <c r="C20" s="36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1407696</v>
      </c>
      <c r="D20" s="36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1407696</v>
      </c>
      <c r="E20" s="87" t="str">
        <f t="shared" si="0"/>
        <v>-</v>
      </c>
      <c r="F20" s="88">
        <f t="shared" si="1"/>
        <v>1</v>
      </c>
      <c r="H20" s="138"/>
      <c r="I20" s="124"/>
    </row>
    <row r="21" spans="1:9" ht="31.5" customHeight="1">
      <c r="A21" s="40" t="s">
        <v>14</v>
      </c>
      <c r="B21" s="46" t="s">
        <v>13</v>
      </c>
      <c r="C21" s="36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598542</v>
      </c>
      <c r="D21" s="36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598542</v>
      </c>
      <c r="E21" s="87" t="str">
        <f t="shared" si="0"/>
        <v>-</v>
      </c>
      <c r="F21" s="88">
        <f t="shared" si="1"/>
        <v>1</v>
      </c>
      <c r="H21" s="138"/>
      <c r="I21" s="124"/>
    </row>
    <row r="22" spans="1:9" ht="31.5" customHeight="1">
      <c r="A22" s="41" t="s">
        <v>15</v>
      </c>
      <c r="B22" s="100" t="s">
        <v>173</v>
      </c>
      <c r="C22" s="36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8530595</v>
      </c>
      <c r="D22" s="36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8530595</v>
      </c>
      <c r="E22" s="87" t="str">
        <f t="shared" si="0"/>
        <v>-</v>
      </c>
      <c r="F22" s="88">
        <f t="shared" si="1"/>
        <v>1</v>
      </c>
      <c r="H22" s="138"/>
      <c r="I22" s="124"/>
    </row>
    <row r="23" spans="1:9" ht="31.5" customHeight="1">
      <c r="A23" s="39" t="s">
        <v>178</v>
      </c>
      <c r="B23" s="45" t="s">
        <v>66</v>
      </c>
      <c r="C23" s="36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25940</v>
      </c>
      <c r="D23" s="36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25940</v>
      </c>
      <c r="E23" s="87" t="str">
        <f t="shared" si="0"/>
        <v>-</v>
      </c>
      <c r="F23" s="88">
        <f t="shared" si="1"/>
        <v>1</v>
      </c>
      <c r="H23" s="138"/>
      <c r="I23" s="124"/>
    </row>
    <row r="24" spans="1:9" ht="33" customHeight="1">
      <c r="A24" s="42" t="s">
        <v>16</v>
      </c>
      <c r="B24" s="47" t="s">
        <v>140</v>
      </c>
      <c r="C24" s="36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0</v>
      </c>
      <c r="D24" s="36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0</v>
      </c>
      <c r="E24" s="87" t="str">
        <f>IF(C24=D24,"-",D24-C24)</f>
        <v>-</v>
      </c>
      <c r="F24" s="88" t="str">
        <f>IF(C24=0,"-",D24/C24)</f>
        <v>-</v>
      </c>
      <c r="H24" s="138"/>
      <c r="I24" s="124"/>
    </row>
    <row r="25" spans="1:9" ht="33" customHeight="1">
      <c r="A25" s="42" t="s">
        <v>137</v>
      </c>
      <c r="B25" s="48" t="s">
        <v>60</v>
      </c>
      <c r="C25" s="36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0</v>
      </c>
      <c r="D25" s="36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0</v>
      </c>
      <c r="E25" s="87" t="str">
        <f>IF(C25=D25,"-",D25-C25)</f>
        <v>-</v>
      </c>
      <c r="F25" s="88" t="str">
        <f>IF(C25=0,"-",D25/C25)</f>
        <v>-</v>
      </c>
      <c r="H25" s="138"/>
      <c r="I25" s="124"/>
    </row>
    <row r="26" spans="1:9" ht="33" customHeight="1">
      <c r="A26" s="42" t="s">
        <v>138</v>
      </c>
      <c r="B26" s="48" t="s">
        <v>141</v>
      </c>
      <c r="C26" s="36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0</v>
      </c>
      <c r="D26" s="36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0</v>
      </c>
      <c r="E26" s="87" t="str">
        <f>IF(C26=D26,"-",D26-C26)</f>
        <v>-</v>
      </c>
      <c r="F26" s="88" t="str">
        <f>IF(C26=0,"-",D26/C26)</f>
        <v>-</v>
      </c>
      <c r="H26" s="138"/>
      <c r="I26" s="124"/>
    </row>
    <row r="27" spans="1:9" ht="33" customHeight="1">
      <c r="A27" s="42" t="s">
        <v>139</v>
      </c>
      <c r="B27" s="51" t="s">
        <v>142</v>
      </c>
      <c r="C27" s="36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395569</v>
      </c>
      <c r="D27" s="36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395569</v>
      </c>
      <c r="E27" s="87" t="str">
        <f>IF(C27=D27,"-",D27-C27)</f>
        <v>-</v>
      </c>
      <c r="F27" s="88">
        <f>IF(C27=0,"-",D27/C27)</f>
        <v>1</v>
      </c>
      <c r="H27" s="138"/>
      <c r="I27" s="124"/>
    </row>
    <row r="28" spans="1:13" s="5" customFormat="1" ht="31.5" customHeight="1">
      <c r="A28" s="43" t="s">
        <v>68</v>
      </c>
      <c r="B28" s="49" t="s">
        <v>69</v>
      </c>
      <c r="C28" s="113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0</v>
      </c>
      <c r="D28" s="113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0</v>
      </c>
      <c r="E28" s="15" t="str">
        <f t="shared" si="0"/>
        <v>-</v>
      </c>
      <c r="F28" s="116" t="str">
        <f t="shared" si="1"/>
        <v>-</v>
      </c>
      <c r="H28" s="138"/>
      <c r="I28" s="124"/>
      <c r="M28" s="132"/>
    </row>
    <row r="29" spans="1:13" s="5" customFormat="1" ht="31.5" customHeight="1">
      <c r="A29" s="43" t="s">
        <v>67</v>
      </c>
      <c r="B29" s="49" t="s">
        <v>70</v>
      </c>
      <c r="C29" s="113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1730500</v>
      </c>
      <c r="D29" s="113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1730500</v>
      </c>
      <c r="E29" s="15" t="str">
        <f t="shared" si="0"/>
        <v>-</v>
      </c>
      <c r="F29" s="116">
        <f t="shared" si="1"/>
        <v>1</v>
      </c>
      <c r="H29" s="138"/>
      <c r="I29" s="124"/>
      <c r="M29" s="132"/>
    </row>
    <row r="30" spans="1:13" s="3" customFormat="1" ht="30" customHeight="1">
      <c r="A30" s="37" t="s">
        <v>17</v>
      </c>
      <c r="B30" s="57" t="s">
        <v>18</v>
      </c>
      <c r="C30" s="34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470035</v>
      </c>
      <c r="D30" s="34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470035</v>
      </c>
      <c r="E30" s="13" t="str">
        <f t="shared" si="0"/>
        <v>-</v>
      </c>
      <c r="F30" s="89">
        <f t="shared" si="1"/>
        <v>1</v>
      </c>
      <c r="H30" s="138"/>
      <c r="I30" s="124"/>
      <c r="M30" s="131"/>
    </row>
    <row r="31" spans="1:9" ht="28.5" customHeight="1">
      <c r="A31" s="42" t="s">
        <v>19</v>
      </c>
      <c r="B31" s="51" t="s">
        <v>20</v>
      </c>
      <c r="C31" s="35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18392</v>
      </c>
      <c r="D31" s="35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18392</v>
      </c>
      <c r="E31" s="87" t="str">
        <f t="shared" si="0"/>
        <v>-</v>
      </c>
      <c r="F31" s="88">
        <f t="shared" si="1"/>
        <v>1</v>
      </c>
      <c r="H31" s="138"/>
      <c r="I31" s="124"/>
    </row>
    <row r="32" spans="1:9" ht="28.5" customHeight="1">
      <c r="A32" s="42" t="s">
        <v>21</v>
      </c>
      <c r="B32" s="51" t="s">
        <v>22</v>
      </c>
      <c r="C32" s="35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55692</v>
      </c>
      <c r="D32" s="35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55692</v>
      </c>
      <c r="E32" s="87" t="str">
        <f t="shared" si="0"/>
        <v>-</v>
      </c>
      <c r="F32" s="88">
        <f t="shared" si="1"/>
        <v>1</v>
      </c>
      <c r="H32" s="138"/>
      <c r="I32" s="124"/>
    </row>
    <row r="33" spans="1:9" ht="28.5" customHeight="1">
      <c r="A33" s="42" t="s">
        <v>23</v>
      </c>
      <c r="B33" s="51" t="s">
        <v>37</v>
      </c>
      <c r="C33" s="35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3445</v>
      </c>
      <c r="D33" s="35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3445</v>
      </c>
      <c r="E33" s="87" t="str">
        <f t="shared" si="0"/>
        <v>-</v>
      </c>
      <c r="F33" s="88">
        <f t="shared" si="1"/>
        <v>1</v>
      </c>
      <c r="H33" s="138"/>
      <c r="I33" s="124"/>
    </row>
    <row r="34" spans="1:9" ht="28.5" customHeight="1">
      <c r="A34" s="53" t="s">
        <v>45</v>
      </c>
      <c r="B34" s="54" t="s">
        <v>38</v>
      </c>
      <c r="C34" s="35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440</v>
      </c>
      <c r="D34" s="35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440</v>
      </c>
      <c r="E34" s="87" t="str">
        <f t="shared" si="0"/>
        <v>-</v>
      </c>
      <c r="F34" s="88">
        <f t="shared" si="1"/>
        <v>1</v>
      </c>
      <c r="H34" s="138"/>
      <c r="I34" s="124"/>
    </row>
    <row r="35" spans="1:9" ht="28.5" customHeight="1">
      <c r="A35" s="53" t="s">
        <v>46</v>
      </c>
      <c r="B35" s="55" t="s">
        <v>39</v>
      </c>
      <c r="C35" s="35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417</v>
      </c>
      <c r="D35" s="35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417</v>
      </c>
      <c r="E35" s="87" t="str">
        <f t="shared" si="0"/>
        <v>-</v>
      </c>
      <c r="F35" s="88">
        <f t="shared" si="1"/>
        <v>1</v>
      </c>
      <c r="H35" s="138"/>
      <c r="I35" s="124"/>
    </row>
    <row r="36" spans="1:9" ht="28.5" customHeight="1">
      <c r="A36" s="53" t="s">
        <v>47</v>
      </c>
      <c r="B36" s="54" t="s">
        <v>40</v>
      </c>
      <c r="C36" s="35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94</v>
      </c>
      <c r="D36" s="35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94</v>
      </c>
      <c r="E36" s="87" t="str">
        <f t="shared" si="0"/>
        <v>-</v>
      </c>
      <c r="F36" s="88">
        <f t="shared" si="1"/>
        <v>1</v>
      </c>
      <c r="H36" s="138"/>
      <c r="I36" s="124"/>
    </row>
    <row r="37" spans="1:9" ht="28.5" customHeight="1">
      <c r="A37" s="53" t="s">
        <v>48</v>
      </c>
      <c r="B37" s="54" t="s">
        <v>41</v>
      </c>
      <c r="C37" s="35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18</v>
      </c>
      <c r="D37" s="35">
        <f>Dolnośląski!D37+KujawskoPomorski!D37+Lubelski!D37+Lubuski!D37+Łódzki!D37+Małopolski!D37+Mazowiecki!D37+Opolski!D37+Podkarpacki!D37+Podlaski!D37+Pomorski!D37+Śląski!D37+Świętokrzyski!D37+WarmińskoMazurski!D37+Wielkopolski!D37+Zachodniopomorski!D37</f>
        <v>18</v>
      </c>
      <c r="E37" s="87" t="str">
        <f t="shared" si="0"/>
        <v>-</v>
      </c>
      <c r="F37" s="88">
        <f t="shared" si="1"/>
        <v>1</v>
      </c>
      <c r="H37" s="138"/>
      <c r="I37" s="124"/>
    </row>
    <row r="38" spans="1:9" ht="28.5" customHeight="1">
      <c r="A38" s="53" t="s">
        <v>49</v>
      </c>
      <c r="B38" s="54" t="s">
        <v>42</v>
      </c>
      <c r="C38" s="35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0</v>
      </c>
      <c r="D38" s="35">
        <f>Dolnośląski!D38+KujawskoPomorski!D38+Lubelski!D38+Lubuski!D38+Łódzki!D38+Małopolski!D38+Mazowiecki!D38+Opolski!D38+Podkarpacki!D38+Podlaski!D38+Pomorski!D38+Śląski!D38+Świętokrzyski!D38+WarmińskoMazurski!D38+Wielkopolski!D38+Zachodniopomorski!D38</f>
        <v>0</v>
      </c>
      <c r="E38" s="87" t="str">
        <f t="shared" si="0"/>
        <v>-</v>
      </c>
      <c r="F38" s="88" t="str">
        <f t="shared" si="1"/>
        <v>-</v>
      </c>
      <c r="H38" s="138"/>
      <c r="I38" s="124"/>
    </row>
    <row r="39" spans="1:9" ht="28.5" customHeight="1">
      <c r="A39" s="53" t="s">
        <v>50</v>
      </c>
      <c r="B39" s="54" t="s">
        <v>43</v>
      </c>
      <c r="C39" s="35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2683</v>
      </c>
      <c r="D39" s="35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2683</v>
      </c>
      <c r="E39" s="87" t="str">
        <f t="shared" si="0"/>
        <v>-</v>
      </c>
      <c r="F39" s="88">
        <f t="shared" si="1"/>
        <v>1</v>
      </c>
      <c r="H39" s="138"/>
      <c r="I39" s="124"/>
    </row>
    <row r="40" spans="1:9" ht="28.5" customHeight="1">
      <c r="A40" s="53" t="s">
        <v>51</v>
      </c>
      <c r="B40" s="54" t="s">
        <v>44</v>
      </c>
      <c r="C40" s="35">
        <f>Dolnośląski!C40+KujawskoPomorski!C40+Lubelski!C40+Lubuski!C40+Łódzki!C40+Małopolski!C40+Mazowiecki!C40+Opolski!C40+Podkarpacki!C40+Podlaski!C40+Pomorski!C40+Śląski!C40+Świętokrzyski!C40+WarmińskoMazurski!C40+Wielkopolski!C40+Zachodniopomorski!C40</f>
        <v>210</v>
      </c>
      <c r="D40" s="35">
        <f>Dolnośląski!D40+KujawskoPomorski!D40+Lubelski!D40+Lubuski!D40+Łódzki!D40+Małopolski!D40+Mazowiecki!D40+Opolski!D40+Podkarpacki!D40+Podlaski!D40+Pomorski!D40+Śląski!D40+Świętokrzyski!D40+WarmińskoMazurski!D40+Wielkopolski!D40+Zachodniopomorski!D40</f>
        <v>210</v>
      </c>
      <c r="E40" s="87" t="str">
        <f t="shared" si="0"/>
        <v>-</v>
      </c>
      <c r="F40" s="88">
        <f t="shared" si="1"/>
        <v>1</v>
      </c>
      <c r="H40" s="138"/>
      <c r="I40" s="124"/>
    </row>
    <row r="41" spans="1:9" ht="28.5" customHeight="1">
      <c r="A41" s="42" t="s">
        <v>24</v>
      </c>
      <c r="B41" s="51" t="s">
        <v>25</v>
      </c>
      <c r="C41" s="35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269491</v>
      </c>
      <c r="D41" s="35">
        <f>Dolnośląski!D41+KujawskoPomorski!D41+Lubelski!D41+Lubuski!D41+Łódzki!D41+Małopolski!D41+Mazowiecki!D41+Opolski!D41+Podkarpacki!D41+Podlaski!D41+Pomorski!D41+Śląski!D41+Świętokrzyski!D41+WarmińskoMazurski!D41+Wielkopolski!D41+Zachodniopomorski!D41</f>
        <v>269491</v>
      </c>
      <c r="E41" s="87" t="str">
        <f t="shared" si="0"/>
        <v>-</v>
      </c>
      <c r="F41" s="88">
        <f t="shared" si="1"/>
        <v>1</v>
      </c>
      <c r="H41" s="138"/>
      <c r="I41" s="124"/>
    </row>
    <row r="42" spans="1:9" ht="28.5" customHeight="1">
      <c r="A42" s="42" t="s">
        <v>26</v>
      </c>
      <c r="B42" s="52" t="s">
        <v>61</v>
      </c>
      <c r="C42" s="35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54381</v>
      </c>
      <c r="D42" s="35">
        <f>Dolnośląski!D42+KujawskoPomorski!D42+Lubelski!D42+Lubuski!D42+Łódzki!D42+Małopolski!D42+Mazowiecki!D42+Opolski!D42+Podkarpacki!D42+Podlaski!D42+Pomorski!D42+Śląski!D42+Świętokrzyski!D42+WarmińskoMazurski!D42+Wielkopolski!D42+Zachodniopomorski!D42</f>
        <v>54381</v>
      </c>
      <c r="E42" s="87" t="str">
        <f t="shared" si="0"/>
        <v>-</v>
      </c>
      <c r="F42" s="88">
        <f t="shared" si="1"/>
        <v>1</v>
      </c>
      <c r="H42" s="138"/>
      <c r="I42" s="124"/>
    </row>
    <row r="43" spans="1:9" ht="28.5" customHeight="1">
      <c r="A43" s="53" t="s">
        <v>56</v>
      </c>
      <c r="B43" s="54" t="s">
        <v>52</v>
      </c>
      <c r="C43" s="35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40721</v>
      </c>
      <c r="D43" s="35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40721</v>
      </c>
      <c r="E43" s="87" t="str">
        <f t="shared" si="0"/>
        <v>-</v>
      </c>
      <c r="F43" s="88">
        <f t="shared" si="1"/>
        <v>1</v>
      </c>
      <c r="H43" s="138"/>
      <c r="I43" s="124"/>
    </row>
    <row r="44" spans="1:9" ht="28.5" customHeight="1">
      <c r="A44" s="53" t="s">
        <v>57</v>
      </c>
      <c r="B44" s="54" t="s">
        <v>53</v>
      </c>
      <c r="C44" s="35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6603</v>
      </c>
      <c r="D44" s="35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6603</v>
      </c>
      <c r="E44" s="87" t="str">
        <f t="shared" si="0"/>
        <v>-</v>
      </c>
      <c r="F44" s="88">
        <f t="shared" si="1"/>
        <v>1</v>
      </c>
      <c r="H44" s="138"/>
      <c r="I44" s="124"/>
    </row>
    <row r="45" spans="1:9" ht="28.5" customHeight="1">
      <c r="A45" s="53" t="s">
        <v>58</v>
      </c>
      <c r="B45" s="54" t="s">
        <v>54</v>
      </c>
      <c r="C45" s="35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0</v>
      </c>
      <c r="D45" s="35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0</v>
      </c>
      <c r="E45" s="87" t="str">
        <f t="shared" si="0"/>
        <v>-</v>
      </c>
      <c r="F45" s="88" t="str">
        <f t="shared" si="1"/>
        <v>-</v>
      </c>
      <c r="H45" s="138"/>
      <c r="I45" s="124"/>
    </row>
    <row r="46" spans="1:9" ht="28.5" customHeight="1">
      <c r="A46" s="53" t="s">
        <v>59</v>
      </c>
      <c r="B46" s="54" t="s">
        <v>55</v>
      </c>
      <c r="C46" s="35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7057</v>
      </c>
      <c r="D46" s="35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7057</v>
      </c>
      <c r="E46" s="87" t="str">
        <f t="shared" si="0"/>
        <v>-</v>
      </c>
      <c r="F46" s="88">
        <f t="shared" si="1"/>
        <v>1</v>
      </c>
      <c r="H46" s="138"/>
      <c r="I46" s="124"/>
    </row>
    <row r="47" spans="1:9" ht="28.5" customHeight="1">
      <c r="A47" s="42" t="s">
        <v>27</v>
      </c>
      <c r="B47" s="51" t="s">
        <v>28</v>
      </c>
      <c r="C47" s="35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0</v>
      </c>
      <c r="D47" s="35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0</v>
      </c>
      <c r="E47" s="87" t="str">
        <f aca="true" t="shared" si="2" ref="E47:E55">IF(C47=D47,"-",D47-C47)</f>
        <v>-</v>
      </c>
      <c r="F47" s="88" t="str">
        <f aca="true" t="shared" si="3" ref="F47:F55">IF(C47=0,"-",D47/C47)</f>
        <v>-</v>
      </c>
      <c r="H47" s="138"/>
      <c r="I47" s="124"/>
    </row>
    <row r="48" spans="1:9" ht="48" customHeight="1">
      <c r="A48" s="42" t="s">
        <v>29</v>
      </c>
      <c r="B48" s="51" t="s">
        <v>116</v>
      </c>
      <c r="C48" s="36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60758</v>
      </c>
      <c r="D48" s="36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60758</v>
      </c>
      <c r="E48" s="87" t="str">
        <f t="shared" si="2"/>
        <v>-</v>
      </c>
      <c r="F48" s="90">
        <f t="shared" si="3"/>
        <v>1</v>
      </c>
      <c r="H48" s="138"/>
      <c r="I48" s="124"/>
    </row>
    <row r="49" spans="1:9" ht="33" customHeight="1">
      <c r="A49" s="42" t="s">
        <v>30</v>
      </c>
      <c r="B49" s="51" t="s">
        <v>31</v>
      </c>
      <c r="C49" s="36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3726</v>
      </c>
      <c r="D49" s="36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3726</v>
      </c>
      <c r="E49" s="87" t="str">
        <f t="shared" si="2"/>
        <v>-</v>
      </c>
      <c r="F49" s="90">
        <f t="shared" si="3"/>
        <v>1</v>
      </c>
      <c r="H49" s="138"/>
      <c r="I49" s="124"/>
    </row>
    <row r="50" spans="1:9" ht="33" customHeight="1">
      <c r="A50" s="42" t="s">
        <v>32</v>
      </c>
      <c r="B50" s="51" t="s">
        <v>33</v>
      </c>
      <c r="C50" s="35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4150</v>
      </c>
      <c r="D50" s="35">
        <f>Dolnośląski!D50+KujawskoPomorski!D50+Lubelski!D50+Lubuski!D50+Łódzki!D50+Małopolski!D50+Mazowiecki!D50+Opolski!D50+Podkarpacki!D50+Podlaski!D50+Pomorski!D50+Śląski!D50+Świętokrzyski!D50+WarmińskoMazurski!D50+Wielkopolski!D50+Zachodniopomorski!D50</f>
        <v>4150</v>
      </c>
      <c r="E50" s="87" t="str">
        <f t="shared" si="2"/>
        <v>-</v>
      </c>
      <c r="F50" s="88">
        <f t="shared" si="3"/>
        <v>1</v>
      </c>
      <c r="H50" s="138"/>
      <c r="I50" s="124"/>
    </row>
    <row r="51" spans="1:13" s="3" customFormat="1" ht="30" customHeight="1">
      <c r="A51" s="44" t="s">
        <v>34</v>
      </c>
      <c r="B51" s="56" t="s">
        <v>174</v>
      </c>
      <c r="C51" s="38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262262</v>
      </c>
      <c r="D51" s="38">
        <f>Dolnośląski!D51+KujawskoPomorski!D51+Lubelski!D51+Lubuski!D51+Łódzki!D51+Małopolski!D51+Mazowiecki!D51+Opolski!D51+Podkarpacki!D51+Podlaski!D51+Pomorski!D51+Śląski!D51+Świętokrzyski!D51+WarmińskoMazurski!D51+Wielkopolski!D51+Zachodniopomorski!D51</f>
        <v>267473</v>
      </c>
      <c r="E51" s="13">
        <f t="shared" si="2"/>
        <v>5211</v>
      </c>
      <c r="F51" s="91">
        <f t="shared" si="3"/>
        <v>1.0199</v>
      </c>
      <c r="H51" s="138"/>
      <c r="I51" s="124"/>
      <c r="M51" s="131"/>
    </row>
    <row r="52" spans="1:9" ht="42" customHeight="1">
      <c r="A52" s="42" t="s">
        <v>119</v>
      </c>
      <c r="B52" s="51" t="s">
        <v>144</v>
      </c>
      <c r="C52" s="35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12064</v>
      </c>
      <c r="D52" s="35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6491</v>
      </c>
      <c r="E52" s="87">
        <f t="shared" si="2"/>
        <v>-5573</v>
      </c>
      <c r="F52" s="88">
        <f t="shared" si="3"/>
        <v>0.538</v>
      </c>
      <c r="H52" s="138"/>
      <c r="I52" s="124"/>
    </row>
    <row r="53" spans="1:9" ht="31.5" customHeight="1">
      <c r="A53" s="42" t="s">
        <v>35</v>
      </c>
      <c r="B53" s="51" t="s">
        <v>63</v>
      </c>
      <c r="C53" s="35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235519</v>
      </c>
      <c r="D53" s="35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248453</v>
      </c>
      <c r="E53" s="87">
        <f t="shared" si="2"/>
        <v>12934</v>
      </c>
      <c r="F53" s="88">
        <f t="shared" si="3"/>
        <v>1.0549</v>
      </c>
      <c r="H53" s="138"/>
      <c r="I53" s="124"/>
    </row>
    <row r="54" spans="1:9" ht="31.5" customHeight="1">
      <c r="A54" s="42" t="s">
        <v>36</v>
      </c>
      <c r="B54" s="51" t="s">
        <v>121</v>
      </c>
      <c r="C54" s="35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0</v>
      </c>
      <c r="D54" s="35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0</v>
      </c>
      <c r="E54" s="87" t="str">
        <f t="shared" si="2"/>
        <v>-</v>
      </c>
      <c r="F54" s="88" t="str">
        <f t="shared" si="3"/>
        <v>-</v>
      </c>
      <c r="H54" s="138"/>
      <c r="I54" s="124"/>
    </row>
    <row r="55" spans="1:9" ht="31.5" customHeight="1">
      <c r="A55" s="42" t="s">
        <v>120</v>
      </c>
      <c r="B55" s="51" t="s">
        <v>122</v>
      </c>
      <c r="C55" s="35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14679</v>
      </c>
      <c r="D55" s="35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12529</v>
      </c>
      <c r="E55" s="87">
        <f t="shared" si="2"/>
        <v>-2150</v>
      </c>
      <c r="F55" s="88">
        <f t="shared" si="3"/>
        <v>0.8535</v>
      </c>
      <c r="H55" s="138"/>
      <c r="I55" s="124"/>
    </row>
    <row r="56" spans="1:9" ht="32.25" customHeight="1">
      <c r="A56" s="44" t="s">
        <v>127</v>
      </c>
      <c r="B56" s="56" t="s">
        <v>154</v>
      </c>
      <c r="C56" s="38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38390</v>
      </c>
      <c r="D56" s="38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104563</v>
      </c>
      <c r="E56" s="13">
        <f>IF(C56=D56,"-",D56-C56)</f>
        <v>66173</v>
      </c>
      <c r="F56" s="91">
        <f>IF(C56=0,"-",D56/C56)</f>
        <v>2.7237</v>
      </c>
      <c r="H56" s="138"/>
      <c r="I56" s="124"/>
    </row>
    <row r="72" ht="54" customHeight="1"/>
    <row r="74" ht="27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1:F1"/>
    <mergeCell ref="D4:D5"/>
    <mergeCell ref="E4:E5"/>
    <mergeCell ref="F4:F5"/>
    <mergeCell ref="A2:C2"/>
    <mergeCell ref="A4:A5"/>
    <mergeCell ref="B4:B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74"/>
  <sheetViews>
    <sheetView showGridLines="0" zoomScale="55" zoomScaleNormal="55" zoomScaleSheetLayoutView="55" zoomScalePageLayoutView="0" workbookViewId="0" topLeftCell="A1">
      <pane ySplit="7" topLeftCell="A41" activePane="bottomLeft" state="frozen"/>
      <selection pane="topLeft" activeCell="A1" sqref="A1:F1"/>
      <selection pane="bottomLeft" activeCell="A1" sqref="A1:F1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8" width="9.125" style="2" customWidth="1"/>
    <col min="9" max="16384" width="9.125" style="2" customWidth="1"/>
  </cols>
  <sheetData>
    <row r="1" spans="1:6" s="59" customFormat="1" ht="30" customHeight="1">
      <c r="A1" s="162" t="str">
        <f>NFZ!A1</f>
        <v>ZMIANA PLANU FINANSOWEGO NARODOWEGO FUNDUSZU ZDROWIA NA 2010 ROK Z 16 GRUDNIA 2010 R.</v>
      </c>
      <c r="B1" s="162"/>
      <c r="C1" s="162"/>
      <c r="D1" s="162"/>
      <c r="E1" s="162"/>
      <c r="F1" s="162"/>
    </row>
    <row r="2" spans="1:3" s="60" customFormat="1" ht="30.75" customHeight="1">
      <c r="A2" s="163" t="s">
        <v>71</v>
      </c>
      <c r="B2" s="163"/>
      <c r="C2" s="163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65" t="s">
        <v>164</v>
      </c>
      <c r="B4" s="164" t="s">
        <v>62</v>
      </c>
      <c r="C4" s="160" t="s">
        <v>201</v>
      </c>
      <c r="D4" s="157" t="s">
        <v>158</v>
      </c>
      <c r="E4" s="159" t="s">
        <v>163</v>
      </c>
      <c r="F4" s="159" t="s">
        <v>162</v>
      </c>
    </row>
    <row r="5" spans="1:6" s="6" customFormat="1" ht="33" customHeight="1">
      <c r="A5" s="164"/>
      <c r="B5" s="164"/>
      <c r="C5" s="161"/>
      <c r="D5" s="158"/>
      <c r="E5" s="159"/>
      <c r="F5" s="159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4337731</v>
      </c>
      <c r="D7" s="16">
        <f>D8+D9+D10+D12+D13+D14+D15+D16+D17+D18+D19+D20+D21+D22+D24+D25+D26+D27</f>
        <v>4337731</v>
      </c>
      <c r="E7" s="13" t="str">
        <f>IF(C7=D7,"-",D7-C7)</f>
        <v>-</v>
      </c>
      <c r="F7" s="86">
        <f>IF(C7=0,"-",D7/C7)</f>
        <v>1</v>
      </c>
      <c r="H7" s="118"/>
    </row>
    <row r="8" spans="1:8" ht="31.5" customHeight="1">
      <c r="A8" s="40" t="s">
        <v>1</v>
      </c>
      <c r="B8" s="100" t="s">
        <v>165</v>
      </c>
      <c r="C8" s="107">
        <v>549550</v>
      </c>
      <c r="D8" s="36">
        <f aca="true" t="shared" si="0" ref="D8:D16">C8</f>
        <v>549550</v>
      </c>
      <c r="E8" s="87" t="str">
        <f aca="true" t="shared" si="1" ref="E8:E29">IF(C8=D8,"-",D8-C8)</f>
        <v>-</v>
      </c>
      <c r="F8" s="88">
        <f aca="true" t="shared" si="2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07">
        <v>334097</v>
      </c>
      <c r="D9" s="36">
        <f t="shared" si="0"/>
        <v>334097</v>
      </c>
      <c r="E9" s="87" t="str">
        <f t="shared" si="1"/>
        <v>-</v>
      </c>
      <c r="F9" s="88">
        <f t="shared" si="2"/>
        <v>1</v>
      </c>
      <c r="H9" s="118"/>
    </row>
    <row r="10" spans="1:8" ht="31.5" customHeight="1">
      <c r="A10" s="40" t="s">
        <v>3</v>
      </c>
      <c r="B10" s="100" t="s">
        <v>157</v>
      </c>
      <c r="C10" s="107">
        <v>2019464</v>
      </c>
      <c r="D10" s="36">
        <f t="shared" si="0"/>
        <v>2019464</v>
      </c>
      <c r="E10" s="87" t="str">
        <f t="shared" si="1"/>
        <v>-</v>
      </c>
      <c r="F10" s="88">
        <f t="shared" si="2"/>
        <v>1</v>
      </c>
      <c r="H10" s="118"/>
    </row>
    <row r="11" spans="1:8" ht="31.5" customHeight="1">
      <c r="A11" s="101" t="s">
        <v>64</v>
      </c>
      <c r="B11" s="45" t="s">
        <v>65</v>
      </c>
      <c r="C11" s="107">
        <v>129515</v>
      </c>
      <c r="D11" s="36">
        <f t="shared" si="0"/>
        <v>129515</v>
      </c>
      <c r="E11" s="87" t="str">
        <f t="shared" si="1"/>
        <v>-</v>
      </c>
      <c r="F11" s="88">
        <f t="shared" si="2"/>
        <v>1</v>
      </c>
      <c r="H11" s="118"/>
    </row>
    <row r="12" spans="1:8" ht="31.5" customHeight="1">
      <c r="A12" s="40" t="s">
        <v>4</v>
      </c>
      <c r="B12" s="100" t="s">
        <v>172</v>
      </c>
      <c r="C12" s="107">
        <v>157706</v>
      </c>
      <c r="D12" s="36">
        <f t="shared" si="0"/>
        <v>157706</v>
      </c>
      <c r="E12" s="87" t="str">
        <f t="shared" si="1"/>
        <v>-</v>
      </c>
      <c r="F12" s="88">
        <f t="shared" si="2"/>
        <v>1</v>
      </c>
      <c r="H12" s="118"/>
    </row>
    <row r="13" spans="1:8" ht="31.5" customHeight="1">
      <c r="A13" s="40" t="s">
        <v>5</v>
      </c>
      <c r="B13" s="100" t="s">
        <v>167</v>
      </c>
      <c r="C13" s="107">
        <v>140069</v>
      </c>
      <c r="D13" s="36">
        <f t="shared" si="0"/>
        <v>140069</v>
      </c>
      <c r="E13" s="87" t="str">
        <f t="shared" si="1"/>
        <v>-</v>
      </c>
      <c r="F13" s="88">
        <f t="shared" si="2"/>
        <v>1</v>
      </c>
      <c r="H13" s="118"/>
    </row>
    <row r="14" spans="1:8" ht="31.5" customHeight="1">
      <c r="A14" s="40" t="s">
        <v>6</v>
      </c>
      <c r="B14" s="100" t="s">
        <v>176</v>
      </c>
      <c r="C14" s="107">
        <v>84490</v>
      </c>
      <c r="D14" s="36">
        <f t="shared" si="0"/>
        <v>84490</v>
      </c>
      <c r="E14" s="87" t="str">
        <f t="shared" si="1"/>
        <v>-</v>
      </c>
      <c r="F14" s="88">
        <f t="shared" si="2"/>
        <v>1</v>
      </c>
      <c r="H14" s="118"/>
    </row>
    <row r="15" spans="1:8" ht="31.5" customHeight="1">
      <c r="A15" s="40" t="s">
        <v>7</v>
      </c>
      <c r="B15" s="100" t="s">
        <v>175</v>
      </c>
      <c r="C15" s="107">
        <v>19392</v>
      </c>
      <c r="D15" s="36">
        <f t="shared" si="0"/>
        <v>19392</v>
      </c>
      <c r="E15" s="87" t="str">
        <f>IF(C15=D15,"-",D15-C15)</f>
        <v>-</v>
      </c>
      <c r="F15" s="88">
        <f>IF(C15=0,"-",D15/C15)</f>
        <v>1</v>
      </c>
      <c r="H15" s="118"/>
    </row>
    <row r="16" spans="1:10" ht="31.5" customHeight="1">
      <c r="A16" s="40" t="s">
        <v>8</v>
      </c>
      <c r="B16" s="100" t="s">
        <v>168</v>
      </c>
      <c r="C16" s="107">
        <v>124655</v>
      </c>
      <c r="D16" s="36">
        <f t="shared" si="0"/>
        <v>124655</v>
      </c>
      <c r="E16" s="87" t="str">
        <f t="shared" si="1"/>
        <v>-</v>
      </c>
      <c r="F16" s="88">
        <f t="shared" si="2"/>
        <v>1</v>
      </c>
      <c r="H16" s="118"/>
      <c r="J16" s="2">
        <f>240*4.2</f>
        <v>1008</v>
      </c>
    </row>
    <row r="17" spans="1:8" ht="31.5" customHeight="1">
      <c r="A17" s="40" t="s">
        <v>9</v>
      </c>
      <c r="B17" s="100" t="s">
        <v>169</v>
      </c>
      <c r="C17" s="107">
        <v>52028</v>
      </c>
      <c r="D17" s="36">
        <f>C17</f>
        <v>52028</v>
      </c>
      <c r="E17" s="87" t="str">
        <f t="shared" si="1"/>
        <v>-</v>
      </c>
      <c r="F17" s="88">
        <f t="shared" si="2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3700</v>
      </c>
      <c r="D18" s="36">
        <f aca="true" t="shared" si="3" ref="D18:D26">C18</f>
        <v>3700</v>
      </c>
      <c r="E18" s="87" t="str">
        <f t="shared" si="1"/>
        <v>-</v>
      </c>
      <c r="F18" s="88">
        <f t="shared" si="2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13384</v>
      </c>
      <c r="D19" s="36">
        <f t="shared" si="3"/>
        <v>13384</v>
      </c>
      <c r="E19" s="87" t="str">
        <f t="shared" si="1"/>
        <v>-</v>
      </c>
      <c r="F19" s="88">
        <f t="shared" si="2"/>
        <v>1</v>
      </c>
      <c r="H19" s="118"/>
    </row>
    <row r="20" spans="1:8" ht="31.5" customHeight="1">
      <c r="A20" s="40" t="s">
        <v>12</v>
      </c>
      <c r="B20" s="100" t="s">
        <v>171</v>
      </c>
      <c r="C20" s="107">
        <v>108426</v>
      </c>
      <c r="D20" s="36">
        <f t="shared" si="3"/>
        <v>108426</v>
      </c>
      <c r="E20" s="87" t="str">
        <f t="shared" si="1"/>
        <v>-</v>
      </c>
      <c r="F20" s="88">
        <f t="shared" si="2"/>
        <v>1</v>
      </c>
      <c r="H20" s="118"/>
    </row>
    <row r="21" spans="1:8" ht="31.5" customHeight="1">
      <c r="A21" s="40" t="s">
        <v>14</v>
      </c>
      <c r="B21" s="46" t="s">
        <v>13</v>
      </c>
      <c r="C21" s="107">
        <v>45750</v>
      </c>
      <c r="D21" s="36">
        <f t="shared" si="3"/>
        <v>45750</v>
      </c>
      <c r="E21" s="87" t="str">
        <f t="shared" si="1"/>
        <v>-</v>
      </c>
      <c r="F21" s="88">
        <f t="shared" si="2"/>
        <v>1</v>
      </c>
      <c r="H21" s="118"/>
    </row>
    <row r="22" spans="1:8" ht="31.5" customHeight="1">
      <c r="A22" s="41" t="s">
        <v>15</v>
      </c>
      <c r="B22" s="100" t="s">
        <v>173</v>
      </c>
      <c r="C22" s="107">
        <v>634095</v>
      </c>
      <c r="D22" s="36">
        <f t="shared" si="3"/>
        <v>634095</v>
      </c>
      <c r="E22" s="87" t="str">
        <f t="shared" si="1"/>
        <v>-</v>
      </c>
      <c r="F22" s="88">
        <f t="shared" si="2"/>
        <v>1</v>
      </c>
      <c r="H22" s="118"/>
    </row>
    <row r="23" spans="1:8" ht="31.5" customHeight="1">
      <c r="A23" s="39" t="s">
        <v>178</v>
      </c>
      <c r="B23" s="45" t="s">
        <v>66</v>
      </c>
      <c r="C23" s="107">
        <v>2901</v>
      </c>
      <c r="D23" s="36">
        <f t="shared" si="3"/>
        <v>2901</v>
      </c>
      <c r="E23" s="87" t="str">
        <f t="shared" si="1"/>
        <v>-</v>
      </c>
      <c r="F23" s="88">
        <f t="shared" si="2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 t="shared" si="3"/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 t="shared" si="3"/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 t="shared" si="3"/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50925</v>
      </c>
      <c r="D27" s="36">
        <f>C27</f>
        <v>50925</v>
      </c>
      <c r="E27" s="87" t="str">
        <f>IF(C27=D27,"-",D27-C27)</f>
        <v>-</v>
      </c>
      <c r="F27" s="88">
        <f>IF(C27=0,"-",D27/C27)</f>
        <v>1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>C28</f>
        <v>0</v>
      </c>
      <c r="E28" s="15" t="str">
        <f t="shared" si="1"/>
        <v>-</v>
      </c>
      <c r="F28" s="116" t="str">
        <f t="shared" si="2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131345</v>
      </c>
      <c r="D29" s="115">
        <v>131345</v>
      </c>
      <c r="E29" s="15" t="str">
        <f t="shared" si="1"/>
        <v>-</v>
      </c>
      <c r="F29" s="116">
        <f t="shared" si="2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8">
        <f>C31+C32+C33+C41+C42+C48+C49+C50+C47</f>
        <v>33167</v>
      </c>
      <c r="D30" s="34">
        <f>D31+D32+D33+D41+D42+D48+D49+D50+D47</f>
        <v>33167</v>
      </c>
      <c r="E30" s="13" t="str">
        <f>IF(C30=D30,"-",D30-C30)</f>
        <v>-</v>
      </c>
      <c r="F30" s="89">
        <f t="shared" si="2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1300</v>
      </c>
      <c r="D31" s="35">
        <f>C31</f>
        <v>1300</v>
      </c>
      <c r="E31" s="87" t="str">
        <f aca="true" t="shared" si="4" ref="E31:E51">IF(C31=D31,"-",D31-C31)</f>
        <v>-</v>
      </c>
      <c r="F31" s="88">
        <f t="shared" si="2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4035</v>
      </c>
      <c r="D32" s="35">
        <f>C32</f>
        <v>4035</v>
      </c>
      <c r="E32" s="87" t="str">
        <f t="shared" si="4"/>
        <v>-</v>
      </c>
      <c r="F32" s="88">
        <f t="shared" si="2"/>
        <v>1</v>
      </c>
      <c r="H32" s="118"/>
    </row>
    <row r="33" spans="1:8" ht="28.5" customHeight="1">
      <c r="A33" s="42" t="s">
        <v>23</v>
      </c>
      <c r="B33" s="51" t="s">
        <v>37</v>
      </c>
      <c r="C33" s="35">
        <v>274</v>
      </c>
      <c r="D33" s="35">
        <f>D34+D36+D37+D38+D39+D40</f>
        <v>274</v>
      </c>
      <c r="E33" s="87" t="str">
        <f t="shared" si="4"/>
        <v>-</v>
      </c>
      <c r="F33" s="88">
        <f t="shared" si="2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77</v>
      </c>
      <c r="D34" s="35">
        <f>C34</f>
        <v>77</v>
      </c>
      <c r="E34" s="87" t="str">
        <f t="shared" si="4"/>
        <v>-</v>
      </c>
      <c r="F34" s="88">
        <f t="shared" si="2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57</v>
      </c>
      <c r="D35" s="35">
        <f>C35</f>
        <v>57</v>
      </c>
      <c r="E35" s="87" t="str">
        <f t="shared" si="4"/>
        <v>-</v>
      </c>
      <c r="F35" s="88">
        <f t="shared" si="2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13</v>
      </c>
      <c r="D36" s="35">
        <f>C36</f>
        <v>13</v>
      </c>
      <c r="E36" s="87" t="str">
        <f t="shared" si="4"/>
        <v>-</v>
      </c>
      <c r="F36" s="88">
        <f t="shared" si="2"/>
        <v>1</v>
      </c>
      <c r="H36" s="118"/>
    </row>
    <row r="37" spans="1:8" ht="28.5" customHeight="1">
      <c r="A37" s="53" t="s">
        <v>48</v>
      </c>
      <c r="B37" s="54" t="s">
        <v>41</v>
      </c>
      <c r="C37" s="92">
        <v>1</v>
      </c>
      <c r="D37" s="35">
        <f aca="true" t="shared" si="5" ref="D37:D48">C37</f>
        <v>1</v>
      </c>
      <c r="E37" s="87" t="str">
        <f t="shared" si="4"/>
        <v>-</v>
      </c>
      <c r="F37" s="88">
        <f t="shared" si="2"/>
        <v>1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5"/>
        <v>0</v>
      </c>
      <c r="E38" s="87" t="str">
        <f t="shared" si="4"/>
        <v>-</v>
      </c>
      <c r="F38" s="88" t="str">
        <f t="shared" si="2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182</v>
      </c>
      <c r="D39" s="35">
        <f t="shared" si="5"/>
        <v>182</v>
      </c>
      <c r="E39" s="87" t="str">
        <f t="shared" si="4"/>
        <v>-</v>
      </c>
      <c r="F39" s="88">
        <f t="shared" si="2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1</v>
      </c>
      <c r="D40" s="35">
        <f t="shared" si="5"/>
        <v>1</v>
      </c>
      <c r="E40" s="87" t="str">
        <f t="shared" si="4"/>
        <v>-</v>
      </c>
      <c r="F40" s="88">
        <f t="shared" si="2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19431</v>
      </c>
      <c r="D41" s="35">
        <f t="shared" si="5"/>
        <v>19431</v>
      </c>
      <c r="E41" s="87" t="str">
        <f t="shared" si="4"/>
        <v>-</v>
      </c>
      <c r="F41" s="88">
        <f t="shared" si="2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v>3922</v>
      </c>
      <c r="D42" s="35">
        <f>SUM(D43:D46)</f>
        <v>3922</v>
      </c>
      <c r="E42" s="87" t="str">
        <f t="shared" si="4"/>
        <v>-</v>
      </c>
      <c r="F42" s="88">
        <f t="shared" si="2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2892</v>
      </c>
      <c r="D43" s="35">
        <f>C43</f>
        <v>2892</v>
      </c>
      <c r="E43" s="87" t="str">
        <f t="shared" si="4"/>
        <v>-</v>
      </c>
      <c r="F43" s="88">
        <f t="shared" si="2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476</v>
      </c>
      <c r="D44" s="35">
        <f>C44</f>
        <v>476</v>
      </c>
      <c r="E44" s="87" t="str">
        <f t="shared" si="4"/>
        <v>-</v>
      </c>
      <c r="F44" s="88">
        <f t="shared" si="2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7" t="str">
        <f t="shared" si="4"/>
        <v>-</v>
      </c>
      <c r="F45" s="88" t="str">
        <f t="shared" si="2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554</v>
      </c>
      <c r="D46" s="35">
        <f>C46</f>
        <v>554</v>
      </c>
      <c r="E46" s="87" t="str">
        <f t="shared" si="4"/>
        <v>-</v>
      </c>
      <c r="F46" s="88">
        <f t="shared" si="2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5"/>
        <v>0</v>
      </c>
      <c r="E47" s="87" t="str">
        <f t="shared" si="4"/>
        <v>-</v>
      </c>
      <c r="F47" s="88" t="str">
        <f aca="true" t="shared" si="6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3360</v>
      </c>
      <c r="D48" s="35">
        <f t="shared" si="5"/>
        <v>3360</v>
      </c>
      <c r="E48" s="87" t="str">
        <f t="shared" si="4"/>
        <v>-</v>
      </c>
      <c r="F48" s="90">
        <f t="shared" si="6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560</v>
      </c>
      <c r="D49" s="35">
        <f>C49</f>
        <v>560</v>
      </c>
      <c r="E49" s="87" t="str">
        <f t="shared" si="4"/>
        <v>-</v>
      </c>
      <c r="F49" s="90">
        <f t="shared" si="6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285</v>
      </c>
      <c r="D50" s="35">
        <f>C50</f>
        <v>285</v>
      </c>
      <c r="E50" s="87" t="str">
        <f t="shared" si="4"/>
        <v>-</v>
      </c>
      <c r="F50" s="88">
        <f t="shared" si="6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16166</v>
      </c>
      <c r="D51" s="38">
        <f>SUM(D52:D55)</f>
        <v>16523</v>
      </c>
      <c r="E51" s="13">
        <f t="shared" si="4"/>
        <v>357</v>
      </c>
      <c r="F51" s="91">
        <f t="shared" si="6"/>
        <v>1.0221</v>
      </c>
      <c r="H51" s="118"/>
    </row>
    <row r="52" spans="1:8" ht="42" customHeight="1">
      <c r="A52" s="42" t="s">
        <v>119</v>
      </c>
      <c r="B52" s="51" t="s">
        <v>144</v>
      </c>
      <c r="C52" s="92">
        <v>8</v>
      </c>
      <c r="D52" s="35">
        <f>C52+7</f>
        <v>15</v>
      </c>
      <c r="E52" s="92">
        <f>IF(C52=D52,"-",D52-C52)</f>
        <v>7</v>
      </c>
      <c r="F52" s="88">
        <f t="shared" si="6"/>
        <v>1.875</v>
      </c>
      <c r="H52" s="118"/>
    </row>
    <row r="53" spans="1:8" ht="31.5" customHeight="1">
      <c r="A53" s="42" t="s">
        <v>35</v>
      </c>
      <c r="B53" s="51" t="s">
        <v>63</v>
      </c>
      <c r="C53" s="92">
        <v>16058</v>
      </c>
      <c r="D53" s="35">
        <f>C53</f>
        <v>16058</v>
      </c>
      <c r="E53" s="92" t="str">
        <f>IF(C53=D53,"-",D53-C53)</f>
        <v>-</v>
      </c>
      <c r="F53" s="88">
        <f t="shared" si="6"/>
        <v>1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88" t="str">
        <f t="shared" si="6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100</v>
      </c>
      <c r="D55" s="35">
        <f>C55+350</f>
        <v>450</v>
      </c>
      <c r="E55" s="92">
        <f>IF(C55=D55,"-",D55-C55)</f>
        <v>350</v>
      </c>
      <c r="F55" s="88">
        <f t="shared" si="6"/>
        <v>4.5</v>
      </c>
      <c r="H55" s="118"/>
    </row>
    <row r="56" spans="1:8" ht="32.25" customHeight="1">
      <c r="A56" s="44" t="s">
        <v>127</v>
      </c>
      <c r="B56" s="56" t="s">
        <v>154</v>
      </c>
      <c r="C56" s="109">
        <v>1244</v>
      </c>
      <c r="D56" s="38">
        <f>C56+1356</f>
        <v>2600</v>
      </c>
      <c r="E56" s="13">
        <f>IF(C56=D56,"-",D56-C56)</f>
        <v>1356</v>
      </c>
      <c r="F56" s="91">
        <f>IF(C56=0,"-",D56/C56)</f>
        <v>2.09</v>
      </c>
      <c r="H56" s="118"/>
    </row>
    <row r="72" ht="54" customHeight="1"/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74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8" width="9.125" style="2" customWidth="1"/>
    <col min="9" max="16384" width="9.125" style="2" customWidth="1"/>
  </cols>
  <sheetData>
    <row r="1" spans="1:6" s="59" customFormat="1" ht="30" customHeight="1">
      <c r="A1" s="162" t="str">
        <f>NFZ!A1</f>
        <v>ZMIANA PLANU FINANSOWEGO NARODOWEGO FUNDUSZU ZDROWIA NA 2010 ROK Z 16 GRUDNIA 2010 R.</v>
      </c>
      <c r="B1" s="162"/>
      <c r="C1" s="162"/>
      <c r="D1" s="162"/>
      <c r="E1" s="162"/>
      <c r="F1" s="162"/>
    </row>
    <row r="2" spans="1:3" s="60" customFormat="1" ht="30.75" customHeight="1">
      <c r="A2" s="163" t="s">
        <v>72</v>
      </c>
      <c r="B2" s="163"/>
      <c r="C2" s="163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65" t="s">
        <v>164</v>
      </c>
      <c r="B4" s="164" t="s">
        <v>62</v>
      </c>
      <c r="C4" s="160" t="s">
        <v>201</v>
      </c>
      <c r="D4" s="157" t="s">
        <v>158</v>
      </c>
      <c r="E4" s="159" t="s">
        <v>163</v>
      </c>
      <c r="F4" s="159" t="s">
        <v>162</v>
      </c>
    </row>
    <row r="5" spans="1:6" s="6" customFormat="1" ht="33" customHeight="1">
      <c r="A5" s="164"/>
      <c r="B5" s="164"/>
      <c r="C5" s="161"/>
      <c r="D5" s="158"/>
      <c r="E5" s="159"/>
      <c r="F5" s="159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2987487</v>
      </c>
      <c r="D7" s="16">
        <f>D8+D9+D10+D12+D13+D14+D15+D16+D17+D18+D19+D20+D21+D22+D24+D25+D26+D27</f>
        <v>2987487</v>
      </c>
      <c r="E7" s="13" t="str">
        <f>IF(C7=D7,"-",D7-C7)</f>
        <v>-</v>
      </c>
      <c r="F7" s="86">
        <f>IF(C7=0,"-",D7/C7)</f>
        <v>1</v>
      </c>
      <c r="H7" s="118"/>
    </row>
    <row r="8" spans="1:8" ht="31.5" customHeight="1">
      <c r="A8" s="40" t="s">
        <v>1</v>
      </c>
      <c r="B8" s="100" t="s">
        <v>165</v>
      </c>
      <c r="C8" s="107">
        <v>402188</v>
      </c>
      <c r="D8" s="36">
        <f aca="true" t="shared" si="0" ref="D8:D20">C8</f>
        <v>402188</v>
      </c>
      <c r="E8" s="87" t="str">
        <f aca="true" t="shared" si="1" ref="E8:E29">IF(C8=D8,"-",D8-C8)</f>
        <v>-</v>
      </c>
      <c r="F8" s="88">
        <f aca="true" t="shared" si="2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07">
        <v>216470</v>
      </c>
      <c r="D9" s="36">
        <f t="shared" si="0"/>
        <v>216470</v>
      </c>
      <c r="E9" s="87" t="str">
        <f t="shared" si="1"/>
        <v>-</v>
      </c>
      <c r="F9" s="88">
        <f t="shared" si="2"/>
        <v>1</v>
      </c>
      <c r="H9" s="118"/>
    </row>
    <row r="10" spans="1:8" ht="31.5" customHeight="1">
      <c r="A10" s="40" t="s">
        <v>3</v>
      </c>
      <c r="B10" s="100" t="s">
        <v>157</v>
      </c>
      <c r="C10" s="107">
        <v>1415670</v>
      </c>
      <c r="D10" s="36">
        <f t="shared" si="0"/>
        <v>1415670</v>
      </c>
      <c r="E10" s="87" t="str">
        <f t="shared" si="1"/>
        <v>-</v>
      </c>
      <c r="F10" s="88">
        <f t="shared" si="2"/>
        <v>1</v>
      </c>
      <c r="H10" s="118"/>
    </row>
    <row r="11" spans="1:8" ht="31.5" customHeight="1">
      <c r="A11" s="101" t="s">
        <v>64</v>
      </c>
      <c r="B11" s="45" t="s">
        <v>65</v>
      </c>
      <c r="C11" s="107">
        <v>80579</v>
      </c>
      <c r="D11" s="36">
        <f t="shared" si="0"/>
        <v>80579</v>
      </c>
      <c r="E11" s="87" t="str">
        <f t="shared" si="1"/>
        <v>-</v>
      </c>
      <c r="F11" s="88">
        <f t="shared" si="2"/>
        <v>1</v>
      </c>
      <c r="H11" s="118"/>
    </row>
    <row r="12" spans="1:8" ht="31.5" customHeight="1">
      <c r="A12" s="40" t="s">
        <v>4</v>
      </c>
      <c r="B12" s="100" t="s">
        <v>172</v>
      </c>
      <c r="C12" s="107">
        <v>96744</v>
      </c>
      <c r="D12" s="36">
        <f t="shared" si="0"/>
        <v>96744</v>
      </c>
      <c r="E12" s="87" t="str">
        <f t="shared" si="1"/>
        <v>-</v>
      </c>
      <c r="F12" s="88">
        <f t="shared" si="2"/>
        <v>1</v>
      </c>
      <c r="H12" s="118"/>
    </row>
    <row r="13" spans="1:8" ht="31.5" customHeight="1">
      <c r="A13" s="40" t="s">
        <v>5</v>
      </c>
      <c r="B13" s="100" t="s">
        <v>167</v>
      </c>
      <c r="C13" s="107">
        <v>74363</v>
      </c>
      <c r="D13" s="36">
        <f t="shared" si="0"/>
        <v>74363</v>
      </c>
      <c r="E13" s="87" t="str">
        <f t="shared" si="1"/>
        <v>-</v>
      </c>
      <c r="F13" s="88">
        <f t="shared" si="2"/>
        <v>1</v>
      </c>
      <c r="H13" s="118"/>
    </row>
    <row r="14" spans="1:8" ht="31.5" customHeight="1">
      <c r="A14" s="40" t="s">
        <v>6</v>
      </c>
      <c r="B14" s="100" t="s">
        <v>176</v>
      </c>
      <c r="C14" s="107">
        <v>34963</v>
      </c>
      <c r="D14" s="36">
        <f t="shared" si="0"/>
        <v>34963</v>
      </c>
      <c r="E14" s="87" t="str">
        <f t="shared" si="1"/>
        <v>-</v>
      </c>
      <c r="F14" s="88">
        <f t="shared" si="2"/>
        <v>1</v>
      </c>
      <c r="H14" s="118"/>
    </row>
    <row r="15" spans="1:8" ht="31.5" customHeight="1">
      <c r="A15" s="40" t="s">
        <v>7</v>
      </c>
      <c r="B15" s="100" t="s">
        <v>175</v>
      </c>
      <c r="C15" s="107">
        <v>23401</v>
      </c>
      <c r="D15" s="36">
        <f t="shared" si="0"/>
        <v>23401</v>
      </c>
      <c r="E15" s="87" t="str">
        <f>IF(C15=D15,"-",D15-C15)</f>
        <v>-</v>
      </c>
      <c r="F15" s="88">
        <f>IF(C15=0,"-",D15/C15)</f>
        <v>1</v>
      </c>
      <c r="H15" s="118"/>
    </row>
    <row r="16" spans="1:8" ht="31.5" customHeight="1">
      <c r="A16" s="40" t="s">
        <v>8</v>
      </c>
      <c r="B16" s="100" t="s">
        <v>168</v>
      </c>
      <c r="C16" s="107">
        <v>97495</v>
      </c>
      <c r="D16" s="36">
        <f t="shared" si="0"/>
        <v>97495</v>
      </c>
      <c r="E16" s="87" t="str">
        <f t="shared" si="1"/>
        <v>-</v>
      </c>
      <c r="F16" s="88">
        <f t="shared" si="2"/>
        <v>1</v>
      </c>
      <c r="H16" s="118"/>
    </row>
    <row r="17" spans="1:8" ht="31.5" customHeight="1">
      <c r="A17" s="40" t="s">
        <v>9</v>
      </c>
      <c r="B17" s="100" t="s">
        <v>169</v>
      </c>
      <c r="C17" s="107">
        <v>28698</v>
      </c>
      <c r="D17" s="36">
        <f t="shared" si="0"/>
        <v>28698</v>
      </c>
      <c r="E17" s="87" t="str">
        <f t="shared" si="1"/>
        <v>-</v>
      </c>
      <c r="F17" s="88">
        <f t="shared" si="2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2270</v>
      </c>
      <c r="D18" s="36">
        <f t="shared" si="0"/>
        <v>2270</v>
      </c>
      <c r="E18" s="87" t="str">
        <f t="shared" si="1"/>
        <v>-</v>
      </c>
      <c r="F18" s="88">
        <f t="shared" si="2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8107</v>
      </c>
      <c r="D19" s="36">
        <f t="shared" si="0"/>
        <v>8107</v>
      </c>
      <c r="E19" s="87" t="str">
        <f t="shared" si="1"/>
        <v>-</v>
      </c>
      <c r="F19" s="88">
        <f t="shared" si="2"/>
        <v>1</v>
      </c>
      <c r="H19" s="118"/>
    </row>
    <row r="20" spans="1:8" ht="31.5" customHeight="1">
      <c r="A20" s="40" t="s">
        <v>12</v>
      </c>
      <c r="B20" s="100" t="s">
        <v>171</v>
      </c>
      <c r="C20" s="107">
        <v>75973</v>
      </c>
      <c r="D20" s="36">
        <f t="shared" si="0"/>
        <v>75973</v>
      </c>
      <c r="E20" s="87" t="str">
        <f t="shared" si="1"/>
        <v>-</v>
      </c>
      <c r="F20" s="88">
        <f t="shared" si="2"/>
        <v>1</v>
      </c>
      <c r="H20" s="118"/>
    </row>
    <row r="21" spans="1:8" ht="31.5" customHeight="1">
      <c r="A21" s="40" t="s">
        <v>14</v>
      </c>
      <c r="B21" s="46" t="s">
        <v>13</v>
      </c>
      <c r="C21" s="107">
        <v>32120</v>
      </c>
      <c r="D21" s="36">
        <f aca="true" t="shared" si="3" ref="D21:D27">C21</f>
        <v>32120</v>
      </c>
      <c r="E21" s="87" t="str">
        <f t="shared" si="1"/>
        <v>-</v>
      </c>
      <c r="F21" s="88">
        <f t="shared" si="2"/>
        <v>1</v>
      </c>
      <c r="H21" s="118"/>
    </row>
    <row r="22" spans="1:8" ht="31.5" customHeight="1">
      <c r="A22" s="41" t="s">
        <v>15</v>
      </c>
      <c r="B22" s="100" t="s">
        <v>173</v>
      </c>
      <c r="C22" s="107">
        <v>474445</v>
      </c>
      <c r="D22" s="36">
        <f t="shared" si="3"/>
        <v>474445</v>
      </c>
      <c r="E22" s="87" t="str">
        <f t="shared" si="1"/>
        <v>-</v>
      </c>
      <c r="F22" s="88">
        <f t="shared" si="2"/>
        <v>1</v>
      </c>
      <c r="H22" s="118"/>
    </row>
    <row r="23" spans="1:8" ht="31.5" customHeight="1">
      <c r="A23" s="39" t="s">
        <v>178</v>
      </c>
      <c r="B23" s="45" t="s">
        <v>66</v>
      </c>
      <c r="C23" s="107">
        <v>711</v>
      </c>
      <c r="D23" s="36">
        <f t="shared" si="3"/>
        <v>711</v>
      </c>
      <c r="E23" s="87" t="str">
        <f t="shared" si="1"/>
        <v>-</v>
      </c>
      <c r="F23" s="88">
        <f t="shared" si="2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 t="shared" si="3"/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 t="shared" si="3"/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 t="shared" si="3"/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4580</v>
      </c>
      <c r="D27" s="36">
        <f t="shared" si="3"/>
        <v>4580</v>
      </c>
      <c r="E27" s="87" t="str">
        <f>IF(C27=D27,"-",D27-C27)</f>
        <v>-</v>
      </c>
      <c r="F27" s="88">
        <f>IF(C27=0,"-",D27/C27)</f>
        <v>1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>C28</f>
        <v>0</v>
      </c>
      <c r="E28" s="15" t="str">
        <f t="shared" si="1"/>
        <v>-</v>
      </c>
      <c r="F28" s="116" t="str">
        <f t="shared" si="2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11">
        <v>102965</v>
      </c>
      <c r="D29" s="115">
        <v>102965</v>
      </c>
      <c r="E29" s="15" t="str">
        <f t="shared" si="1"/>
        <v>-</v>
      </c>
      <c r="F29" s="116">
        <f t="shared" si="2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25667</v>
      </c>
      <c r="D30" s="34">
        <f>D31+D32+D33+D41+D42+D48+D49+D50+D47</f>
        <v>25667</v>
      </c>
      <c r="E30" s="13" t="str">
        <f>IF(C30=D30,"-",D30-C30)</f>
        <v>-</v>
      </c>
      <c r="F30" s="89">
        <f t="shared" si="2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922</v>
      </c>
      <c r="D31" s="35">
        <f>C31</f>
        <v>922</v>
      </c>
      <c r="E31" s="87" t="str">
        <f aca="true" t="shared" si="4" ref="E31:E51">IF(C31=D31,"-",D31-C31)</f>
        <v>-</v>
      </c>
      <c r="F31" s="88">
        <f t="shared" si="2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3188</v>
      </c>
      <c r="D32" s="35">
        <f>C32</f>
        <v>3188</v>
      </c>
      <c r="E32" s="87" t="str">
        <f t="shared" si="4"/>
        <v>-</v>
      </c>
      <c r="F32" s="88">
        <f t="shared" si="2"/>
        <v>1</v>
      </c>
      <c r="H32" s="118"/>
    </row>
    <row r="33" spans="1:8" ht="28.5" customHeight="1">
      <c r="A33" s="42" t="s">
        <v>23</v>
      </c>
      <c r="B33" s="51" t="s">
        <v>37</v>
      </c>
      <c r="C33" s="35">
        <v>149</v>
      </c>
      <c r="D33" s="35">
        <f aca="true" t="shared" si="5" ref="D33:D49">C33</f>
        <v>149</v>
      </c>
      <c r="E33" s="87" t="str">
        <f t="shared" si="4"/>
        <v>-</v>
      </c>
      <c r="F33" s="88">
        <f t="shared" si="2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22</v>
      </c>
      <c r="D34" s="35">
        <f>C34</f>
        <v>22</v>
      </c>
      <c r="E34" s="87" t="str">
        <f t="shared" si="4"/>
        <v>-</v>
      </c>
      <c r="F34" s="88">
        <f t="shared" si="2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22</v>
      </c>
      <c r="D35" s="35">
        <f>C35</f>
        <v>22</v>
      </c>
      <c r="E35" s="87" t="str">
        <f t="shared" si="4"/>
        <v>-</v>
      </c>
      <c r="F35" s="88">
        <f t="shared" si="2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2</v>
      </c>
      <c r="D36" s="35">
        <f>C36</f>
        <v>2</v>
      </c>
      <c r="E36" s="87" t="str">
        <f t="shared" si="4"/>
        <v>-</v>
      </c>
      <c r="F36" s="88">
        <f t="shared" si="2"/>
        <v>1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5"/>
        <v>0</v>
      </c>
      <c r="E37" s="87" t="str">
        <f t="shared" si="4"/>
        <v>-</v>
      </c>
      <c r="F37" s="88" t="str">
        <f t="shared" si="2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5"/>
        <v>0</v>
      </c>
      <c r="E38" s="87" t="str">
        <f t="shared" si="4"/>
        <v>-</v>
      </c>
      <c r="F38" s="88" t="str">
        <f t="shared" si="2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120</v>
      </c>
      <c r="D39" s="35">
        <f t="shared" si="5"/>
        <v>120</v>
      </c>
      <c r="E39" s="87" t="str">
        <f t="shared" si="4"/>
        <v>-</v>
      </c>
      <c r="F39" s="88">
        <f t="shared" si="2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5</v>
      </c>
      <c r="D40" s="35">
        <f t="shared" si="5"/>
        <v>5</v>
      </c>
      <c r="E40" s="87" t="str">
        <f t="shared" si="4"/>
        <v>-</v>
      </c>
      <c r="F40" s="88">
        <f t="shared" si="2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13744</v>
      </c>
      <c r="D41" s="35">
        <f t="shared" si="5"/>
        <v>13744</v>
      </c>
      <c r="E41" s="87" t="str">
        <f t="shared" si="4"/>
        <v>-</v>
      </c>
      <c r="F41" s="88">
        <f t="shared" si="2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v>2774</v>
      </c>
      <c r="D42" s="35">
        <f t="shared" si="5"/>
        <v>2774</v>
      </c>
      <c r="E42" s="87" t="str">
        <f t="shared" si="4"/>
        <v>-</v>
      </c>
      <c r="F42" s="88">
        <f t="shared" si="2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1952</v>
      </c>
      <c r="D43" s="35">
        <f t="shared" si="5"/>
        <v>1952</v>
      </c>
      <c r="E43" s="87" t="str">
        <f t="shared" si="4"/>
        <v>-</v>
      </c>
      <c r="F43" s="88">
        <f t="shared" si="2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337</v>
      </c>
      <c r="D44" s="35">
        <f t="shared" si="5"/>
        <v>337</v>
      </c>
      <c r="E44" s="87" t="str">
        <f t="shared" si="4"/>
        <v>-</v>
      </c>
      <c r="F44" s="88">
        <f t="shared" si="2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7" t="str">
        <f t="shared" si="4"/>
        <v>-</v>
      </c>
      <c r="F45" s="88" t="str">
        <f t="shared" si="2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485</v>
      </c>
      <c r="D46" s="35">
        <f t="shared" si="5"/>
        <v>485</v>
      </c>
      <c r="E46" s="87" t="str">
        <f t="shared" si="4"/>
        <v>-</v>
      </c>
      <c r="F46" s="88">
        <f t="shared" si="2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5"/>
        <v>0</v>
      </c>
      <c r="E47" s="87" t="str">
        <f t="shared" si="4"/>
        <v>-</v>
      </c>
      <c r="F47" s="88" t="str">
        <f aca="true" t="shared" si="6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4500</v>
      </c>
      <c r="D48" s="35">
        <f t="shared" si="5"/>
        <v>4500</v>
      </c>
      <c r="E48" s="87" t="str">
        <f t="shared" si="4"/>
        <v>-</v>
      </c>
      <c r="F48" s="90">
        <f t="shared" si="6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97</v>
      </c>
      <c r="D49" s="35">
        <f t="shared" si="5"/>
        <v>97</v>
      </c>
      <c r="E49" s="87" t="str">
        <f t="shared" si="4"/>
        <v>-</v>
      </c>
      <c r="F49" s="90">
        <f t="shared" si="6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293</v>
      </c>
      <c r="D50" s="35">
        <f>C50</f>
        <v>293</v>
      </c>
      <c r="E50" s="87" t="str">
        <f t="shared" si="4"/>
        <v>-</v>
      </c>
      <c r="F50" s="88">
        <f t="shared" si="6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12369</v>
      </c>
      <c r="D51" s="38">
        <f>SUM(D52:D55)</f>
        <v>49939</v>
      </c>
      <c r="E51" s="13">
        <f t="shared" si="4"/>
        <v>37570</v>
      </c>
      <c r="F51" s="91">
        <f t="shared" si="6"/>
        <v>4.0374</v>
      </c>
      <c r="H51" s="118"/>
    </row>
    <row r="52" spans="1:8" ht="42" customHeight="1">
      <c r="A52" s="42" t="s">
        <v>119</v>
      </c>
      <c r="B52" s="51" t="s">
        <v>144</v>
      </c>
      <c r="C52" s="92">
        <v>477</v>
      </c>
      <c r="D52" s="35">
        <f>C52-467</f>
        <v>10</v>
      </c>
      <c r="E52" s="92">
        <f>IF(C52=D52,"-",D52-C52)</f>
        <v>-467</v>
      </c>
      <c r="F52" s="98">
        <f t="shared" si="6"/>
        <v>0.021</v>
      </c>
      <c r="H52" s="118"/>
    </row>
    <row r="53" spans="1:8" ht="31.5" customHeight="1">
      <c r="A53" s="42" t="s">
        <v>35</v>
      </c>
      <c r="B53" s="51" t="s">
        <v>63</v>
      </c>
      <c r="C53" s="92">
        <v>11617</v>
      </c>
      <c r="D53" s="35">
        <f>C53+37975</f>
        <v>49592</v>
      </c>
      <c r="E53" s="92">
        <f>IF(C53=D53,"-",D53-C53)</f>
        <v>37975</v>
      </c>
      <c r="F53" s="98">
        <f t="shared" si="6"/>
        <v>4.2689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6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275</v>
      </c>
      <c r="D55" s="35">
        <f>C55+62</f>
        <v>337</v>
      </c>
      <c r="E55" s="92">
        <f>IF(C55=D55,"-",D55-C55)</f>
        <v>62</v>
      </c>
      <c r="F55" s="98">
        <f t="shared" si="6"/>
        <v>1.2255</v>
      </c>
      <c r="H55" s="118"/>
    </row>
    <row r="56" spans="1:8" ht="32.25" customHeight="1">
      <c r="A56" s="44" t="s">
        <v>127</v>
      </c>
      <c r="B56" s="56" t="s">
        <v>154</v>
      </c>
      <c r="C56" s="109">
        <v>886</v>
      </c>
      <c r="D56" s="38">
        <f>C56+31310</f>
        <v>32196</v>
      </c>
      <c r="E56" s="13">
        <f>IF(C56=D56,"-",D56-C56)</f>
        <v>31310</v>
      </c>
      <c r="F56" s="91">
        <f>IF(C56=0,"-",D56/C56)</f>
        <v>36.3386</v>
      </c>
      <c r="H56" s="118"/>
    </row>
    <row r="72" ht="54" customHeight="1"/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74"/>
  <sheetViews>
    <sheetView showGridLines="0" zoomScale="55" zoomScaleNormal="55" zoomScaleSheetLayoutView="55" zoomScalePageLayoutView="0" workbookViewId="0" topLeftCell="A1">
      <pane xSplit="2" ySplit="7" topLeftCell="C3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8" width="9.125" style="2" customWidth="1"/>
    <col min="9" max="16384" width="9.125" style="2" customWidth="1"/>
  </cols>
  <sheetData>
    <row r="1" spans="1:6" s="59" customFormat="1" ht="30" customHeight="1">
      <c r="A1" s="162" t="str">
        <f>NFZ!A1</f>
        <v>ZMIANA PLANU FINANSOWEGO NARODOWEGO FUNDUSZU ZDROWIA NA 2010 ROK Z 16 GRUDNIA 2010 R.</v>
      </c>
      <c r="B1" s="162"/>
      <c r="C1" s="162"/>
      <c r="D1" s="162"/>
      <c r="E1" s="162"/>
      <c r="F1" s="162"/>
    </row>
    <row r="2" spans="1:3" s="60" customFormat="1" ht="30.75" customHeight="1">
      <c r="A2" s="163" t="s">
        <v>73</v>
      </c>
      <c r="B2" s="163"/>
      <c r="C2" s="163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65" t="s">
        <v>164</v>
      </c>
      <c r="B4" s="164" t="s">
        <v>62</v>
      </c>
      <c r="C4" s="160" t="s">
        <v>201</v>
      </c>
      <c r="D4" s="157" t="s">
        <v>158</v>
      </c>
      <c r="E4" s="159" t="s">
        <v>163</v>
      </c>
      <c r="F4" s="159" t="s">
        <v>162</v>
      </c>
    </row>
    <row r="5" spans="1:6" s="6" customFormat="1" ht="33" customHeight="1">
      <c r="A5" s="164"/>
      <c r="B5" s="164"/>
      <c r="C5" s="161"/>
      <c r="D5" s="158"/>
      <c r="E5" s="159"/>
      <c r="F5" s="159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3106103</v>
      </c>
      <c r="D7" s="16">
        <f>D8+D9+D10+D12+D13+D14+D15+D16+D17+D18+D19+D20+D21+D22+D24+D25+D26+D27</f>
        <v>3106103</v>
      </c>
      <c r="E7" s="13" t="str">
        <f>IF(C7=D7,"-",D7-C7)</f>
        <v>-</v>
      </c>
      <c r="F7" s="86">
        <f>IF(C7=0,"-",D7/C7)</f>
        <v>1</v>
      </c>
      <c r="H7" s="118"/>
    </row>
    <row r="8" spans="1:8" ht="31.5" customHeight="1">
      <c r="A8" s="40" t="s">
        <v>1</v>
      </c>
      <c r="B8" s="100" t="s">
        <v>165</v>
      </c>
      <c r="C8" s="107">
        <v>428000</v>
      </c>
      <c r="D8" s="36">
        <f aca="true" t="shared" si="0" ref="D8:D22">C8</f>
        <v>428000</v>
      </c>
      <c r="E8" s="87" t="str">
        <f aca="true" t="shared" si="1" ref="E8:E29">IF(C8=D8,"-",D8-C8)</f>
        <v>-</v>
      </c>
      <c r="F8" s="88">
        <f aca="true" t="shared" si="2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07">
        <v>213273</v>
      </c>
      <c r="D9" s="36">
        <f t="shared" si="0"/>
        <v>213273</v>
      </c>
      <c r="E9" s="87" t="str">
        <f t="shared" si="1"/>
        <v>-</v>
      </c>
      <c r="F9" s="88">
        <f t="shared" si="2"/>
        <v>1</v>
      </c>
      <c r="H9" s="118"/>
    </row>
    <row r="10" spans="1:8" ht="31.5" customHeight="1">
      <c r="A10" s="40" t="s">
        <v>3</v>
      </c>
      <c r="B10" s="100" t="s">
        <v>157</v>
      </c>
      <c r="C10" s="107">
        <v>1476937</v>
      </c>
      <c r="D10" s="36">
        <f t="shared" si="0"/>
        <v>1476937</v>
      </c>
      <c r="E10" s="87" t="str">
        <f t="shared" si="1"/>
        <v>-</v>
      </c>
      <c r="F10" s="88">
        <f t="shared" si="2"/>
        <v>1</v>
      </c>
      <c r="H10" s="118"/>
    </row>
    <row r="11" spans="1:8" ht="31.5" customHeight="1">
      <c r="A11" s="101" t="s">
        <v>64</v>
      </c>
      <c r="B11" s="45" t="s">
        <v>65</v>
      </c>
      <c r="C11" s="107">
        <v>72527</v>
      </c>
      <c r="D11" s="36">
        <f t="shared" si="0"/>
        <v>72527</v>
      </c>
      <c r="E11" s="87" t="str">
        <f t="shared" si="1"/>
        <v>-</v>
      </c>
      <c r="F11" s="88">
        <f t="shared" si="2"/>
        <v>1</v>
      </c>
      <c r="H11" s="118"/>
    </row>
    <row r="12" spans="1:8" ht="31.5" customHeight="1">
      <c r="A12" s="40" t="s">
        <v>4</v>
      </c>
      <c r="B12" s="100" t="s">
        <v>172</v>
      </c>
      <c r="C12" s="107">
        <v>108067</v>
      </c>
      <c r="D12" s="36">
        <f t="shared" si="0"/>
        <v>108067</v>
      </c>
      <c r="E12" s="87" t="str">
        <f t="shared" si="1"/>
        <v>-</v>
      </c>
      <c r="F12" s="88">
        <f t="shared" si="2"/>
        <v>1</v>
      </c>
      <c r="H12" s="118"/>
    </row>
    <row r="13" spans="1:8" ht="31.5" customHeight="1">
      <c r="A13" s="40" t="s">
        <v>5</v>
      </c>
      <c r="B13" s="100" t="s">
        <v>167</v>
      </c>
      <c r="C13" s="107">
        <v>87445</v>
      </c>
      <c r="D13" s="36">
        <f t="shared" si="0"/>
        <v>87445</v>
      </c>
      <c r="E13" s="87" t="str">
        <f t="shared" si="1"/>
        <v>-</v>
      </c>
      <c r="F13" s="88">
        <f t="shared" si="2"/>
        <v>1</v>
      </c>
      <c r="H13" s="118"/>
    </row>
    <row r="14" spans="1:8" ht="31.5" customHeight="1">
      <c r="A14" s="40" t="s">
        <v>6</v>
      </c>
      <c r="B14" s="100" t="s">
        <v>176</v>
      </c>
      <c r="C14" s="107">
        <v>39961</v>
      </c>
      <c r="D14" s="36">
        <f t="shared" si="0"/>
        <v>39961</v>
      </c>
      <c r="E14" s="87" t="str">
        <f t="shared" si="1"/>
        <v>-</v>
      </c>
      <c r="F14" s="88">
        <f t="shared" si="2"/>
        <v>1</v>
      </c>
      <c r="H14" s="118"/>
    </row>
    <row r="15" spans="1:8" ht="31.5" customHeight="1">
      <c r="A15" s="40" t="s">
        <v>7</v>
      </c>
      <c r="B15" s="100" t="s">
        <v>175</v>
      </c>
      <c r="C15" s="107">
        <v>11578</v>
      </c>
      <c r="D15" s="36">
        <f t="shared" si="0"/>
        <v>11578</v>
      </c>
      <c r="E15" s="87" t="str">
        <f>IF(C15=D15,"-",D15-C15)</f>
        <v>-</v>
      </c>
      <c r="F15" s="88">
        <f>IF(C15=0,"-",D15/C15)</f>
        <v>1</v>
      </c>
      <c r="H15" s="118"/>
    </row>
    <row r="16" spans="1:8" ht="31.5" customHeight="1">
      <c r="A16" s="40" t="s">
        <v>8</v>
      </c>
      <c r="B16" s="100" t="s">
        <v>168</v>
      </c>
      <c r="C16" s="107">
        <v>115746</v>
      </c>
      <c r="D16" s="36">
        <f t="shared" si="0"/>
        <v>115746</v>
      </c>
      <c r="E16" s="87" t="str">
        <f t="shared" si="1"/>
        <v>-</v>
      </c>
      <c r="F16" s="88">
        <f t="shared" si="2"/>
        <v>1</v>
      </c>
      <c r="H16" s="118"/>
    </row>
    <row r="17" spans="1:8" ht="31.5" customHeight="1">
      <c r="A17" s="40" t="s">
        <v>9</v>
      </c>
      <c r="B17" s="100" t="s">
        <v>169</v>
      </c>
      <c r="C17" s="107">
        <v>39014</v>
      </c>
      <c r="D17" s="36">
        <f t="shared" si="0"/>
        <v>39014</v>
      </c>
      <c r="E17" s="87" t="str">
        <f t="shared" si="1"/>
        <v>-</v>
      </c>
      <c r="F17" s="88">
        <f t="shared" si="2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2300</v>
      </c>
      <c r="D18" s="36">
        <f t="shared" si="0"/>
        <v>2300</v>
      </c>
      <c r="E18" s="87" t="str">
        <f t="shared" si="1"/>
        <v>-</v>
      </c>
      <c r="F18" s="88">
        <f t="shared" si="2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7190</v>
      </c>
      <c r="D19" s="36">
        <f t="shared" si="0"/>
        <v>7190</v>
      </c>
      <c r="E19" s="87" t="str">
        <f t="shared" si="1"/>
        <v>-</v>
      </c>
      <c r="F19" s="88">
        <f t="shared" si="2"/>
        <v>1</v>
      </c>
      <c r="H19" s="118"/>
    </row>
    <row r="20" spans="1:8" ht="31.5" customHeight="1">
      <c r="A20" s="40" t="s">
        <v>12</v>
      </c>
      <c r="B20" s="100" t="s">
        <v>171</v>
      </c>
      <c r="C20" s="107">
        <v>72787</v>
      </c>
      <c r="D20" s="36">
        <f t="shared" si="0"/>
        <v>72787</v>
      </c>
      <c r="E20" s="87" t="str">
        <f t="shared" si="1"/>
        <v>-</v>
      </c>
      <c r="F20" s="88">
        <f t="shared" si="2"/>
        <v>1</v>
      </c>
      <c r="H20" s="118"/>
    </row>
    <row r="21" spans="1:8" ht="31.5" customHeight="1">
      <c r="A21" s="40" t="s">
        <v>14</v>
      </c>
      <c r="B21" s="46" t="s">
        <v>13</v>
      </c>
      <c r="C21" s="107">
        <v>32400</v>
      </c>
      <c r="D21" s="36">
        <f t="shared" si="0"/>
        <v>32400</v>
      </c>
      <c r="E21" s="87" t="str">
        <f t="shared" si="1"/>
        <v>-</v>
      </c>
      <c r="F21" s="88">
        <f t="shared" si="2"/>
        <v>1</v>
      </c>
      <c r="H21" s="118"/>
    </row>
    <row r="22" spans="1:8" ht="31.5" customHeight="1">
      <c r="A22" s="41" t="s">
        <v>15</v>
      </c>
      <c r="B22" s="100" t="s">
        <v>173</v>
      </c>
      <c r="C22" s="107">
        <v>466073</v>
      </c>
      <c r="D22" s="36">
        <f t="shared" si="0"/>
        <v>466073</v>
      </c>
      <c r="E22" s="87" t="str">
        <f t="shared" si="1"/>
        <v>-</v>
      </c>
      <c r="F22" s="88">
        <f t="shared" si="2"/>
        <v>1</v>
      </c>
      <c r="H22" s="118"/>
    </row>
    <row r="23" spans="1:8" ht="31.5" customHeight="1">
      <c r="A23" s="39" t="s">
        <v>178</v>
      </c>
      <c r="B23" s="45" t="s">
        <v>66</v>
      </c>
      <c r="C23" s="107">
        <v>2000</v>
      </c>
      <c r="D23" s="36">
        <f aca="true" t="shared" si="3" ref="D23:D28">C23</f>
        <v>2000</v>
      </c>
      <c r="E23" s="87" t="str">
        <f t="shared" si="1"/>
        <v>-</v>
      </c>
      <c r="F23" s="88">
        <f t="shared" si="2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 t="shared" si="3"/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 t="shared" si="3"/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 t="shared" si="3"/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5332</v>
      </c>
      <c r="D27" s="36">
        <f t="shared" si="3"/>
        <v>5332</v>
      </c>
      <c r="E27" s="87" t="str">
        <f>IF(C27=D27,"-",D27-C27)</f>
        <v>-</v>
      </c>
      <c r="F27" s="88">
        <f>IF(C27=0,"-",D27/C27)</f>
        <v>1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 t="shared" si="3"/>
        <v>0</v>
      </c>
      <c r="E28" s="15" t="str">
        <f t="shared" si="1"/>
        <v>-</v>
      </c>
      <c r="F28" s="116" t="str">
        <f t="shared" si="2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106080</v>
      </c>
      <c r="D29" s="115">
        <v>106080</v>
      </c>
      <c r="E29" s="15" t="str">
        <f t="shared" si="1"/>
        <v>-</v>
      </c>
      <c r="F29" s="116">
        <f t="shared" si="2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24706</v>
      </c>
      <c r="D30" s="34">
        <f>D31+D32+D33+D41+D42+D48+D49+D50+D47</f>
        <v>24706</v>
      </c>
      <c r="E30" s="13" t="str">
        <f>IF(C30=D30,"-",D30-C30)</f>
        <v>-</v>
      </c>
      <c r="F30" s="89">
        <f t="shared" si="2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837</v>
      </c>
      <c r="D31" s="35">
        <f>C31</f>
        <v>837</v>
      </c>
      <c r="E31" s="87" t="str">
        <f aca="true" t="shared" si="4" ref="E31:E51">IF(C31=D31,"-",D31-C31)</f>
        <v>-</v>
      </c>
      <c r="F31" s="88">
        <f t="shared" si="2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2098</v>
      </c>
      <c r="D32" s="35">
        <f>C32</f>
        <v>2098</v>
      </c>
      <c r="E32" s="87" t="str">
        <f t="shared" si="4"/>
        <v>-</v>
      </c>
      <c r="F32" s="88">
        <f t="shared" si="2"/>
        <v>1</v>
      </c>
      <c r="H32" s="118"/>
    </row>
    <row r="33" spans="1:8" ht="28.5" customHeight="1">
      <c r="A33" s="42" t="s">
        <v>23</v>
      </c>
      <c r="B33" s="51" t="s">
        <v>37</v>
      </c>
      <c r="C33" s="35">
        <v>206</v>
      </c>
      <c r="D33" s="35">
        <f>D34+D36+D37+D38+D39+D40</f>
        <v>206</v>
      </c>
      <c r="E33" s="87" t="str">
        <f t="shared" si="4"/>
        <v>-</v>
      </c>
      <c r="F33" s="88">
        <f t="shared" si="2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25</v>
      </c>
      <c r="D34" s="35">
        <f>C34</f>
        <v>25</v>
      </c>
      <c r="E34" s="87" t="str">
        <f t="shared" si="4"/>
        <v>-</v>
      </c>
      <c r="F34" s="88">
        <f t="shared" si="2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25</v>
      </c>
      <c r="D35" s="35">
        <f aca="true" t="shared" si="5" ref="D35:D49">C35</f>
        <v>25</v>
      </c>
      <c r="E35" s="87" t="str">
        <f t="shared" si="4"/>
        <v>-</v>
      </c>
      <c r="F35" s="88">
        <f t="shared" si="2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0</v>
      </c>
      <c r="D36" s="35">
        <f t="shared" si="5"/>
        <v>0</v>
      </c>
      <c r="E36" s="87" t="str">
        <f t="shared" si="4"/>
        <v>-</v>
      </c>
      <c r="F36" s="88" t="str">
        <f t="shared" si="2"/>
        <v>-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5"/>
        <v>0</v>
      </c>
      <c r="E37" s="87" t="str">
        <f t="shared" si="4"/>
        <v>-</v>
      </c>
      <c r="F37" s="88" t="str">
        <f t="shared" si="2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5"/>
        <v>0</v>
      </c>
      <c r="E38" s="87" t="str">
        <f t="shared" si="4"/>
        <v>-</v>
      </c>
      <c r="F38" s="88" t="str">
        <f t="shared" si="2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173</v>
      </c>
      <c r="D39" s="35">
        <f>C39</f>
        <v>173</v>
      </c>
      <c r="E39" s="87" t="str">
        <f t="shared" si="4"/>
        <v>-</v>
      </c>
      <c r="F39" s="88">
        <f t="shared" si="2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8</v>
      </c>
      <c r="D40" s="35">
        <f t="shared" si="5"/>
        <v>8</v>
      </c>
      <c r="E40" s="87" t="str">
        <f t="shared" si="4"/>
        <v>-</v>
      </c>
      <c r="F40" s="88">
        <f t="shared" si="2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14274</v>
      </c>
      <c r="D41" s="35">
        <f t="shared" si="5"/>
        <v>14274</v>
      </c>
      <c r="E41" s="87" t="str">
        <f t="shared" si="4"/>
        <v>-</v>
      </c>
      <c r="F41" s="88">
        <f t="shared" si="2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v>2879</v>
      </c>
      <c r="D42" s="35">
        <f>SUM(D43:D46)</f>
        <v>2879</v>
      </c>
      <c r="E42" s="87" t="str">
        <f t="shared" si="4"/>
        <v>-</v>
      </c>
      <c r="F42" s="88">
        <f t="shared" si="2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2168</v>
      </c>
      <c r="D43" s="35">
        <f>C43</f>
        <v>2168</v>
      </c>
      <c r="E43" s="87" t="str">
        <f t="shared" si="4"/>
        <v>-</v>
      </c>
      <c r="F43" s="88">
        <f t="shared" si="2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350</v>
      </c>
      <c r="D44" s="35">
        <f>C44</f>
        <v>350</v>
      </c>
      <c r="E44" s="87" t="str">
        <f t="shared" si="4"/>
        <v>-</v>
      </c>
      <c r="F44" s="88">
        <f t="shared" si="2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7" t="str">
        <f t="shared" si="4"/>
        <v>-</v>
      </c>
      <c r="F45" s="88" t="str">
        <f t="shared" si="2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361</v>
      </c>
      <c r="D46" s="35">
        <f>C46</f>
        <v>361</v>
      </c>
      <c r="E46" s="87" t="str">
        <f t="shared" si="4"/>
        <v>-</v>
      </c>
      <c r="F46" s="88">
        <f t="shared" si="2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5"/>
        <v>0</v>
      </c>
      <c r="E47" s="87" t="str">
        <f t="shared" si="4"/>
        <v>-</v>
      </c>
      <c r="F47" s="88" t="str">
        <f aca="true" t="shared" si="6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3454</v>
      </c>
      <c r="D48" s="35">
        <f t="shared" si="5"/>
        <v>3454</v>
      </c>
      <c r="E48" s="87" t="str">
        <f t="shared" si="4"/>
        <v>-</v>
      </c>
      <c r="F48" s="90">
        <f t="shared" si="6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658</v>
      </c>
      <c r="D49" s="35">
        <f t="shared" si="5"/>
        <v>658</v>
      </c>
      <c r="E49" s="87" t="str">
        <f t="shared" si="4"/>
        <v>-</v>
      </c>
      <c r="F49" s="90">
        <f t="shared" si="6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300</v>
      </c>
      <c r="D50" s="35">
        <f>C50</f>
        <v>300</v>
      </c>
      <c r="E50" s="87" t="str">
        <f t="shared" si="4"/>
        <v>-</v>
      </c>
      <c r="F50" s="88">
        <f t="shared" si="6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12632</v>
      </c>
      <c r="D51" s="38">
        <f>SUM(D52:D55)</f>
        <v>19490</v>
      </c>
      <c r="E51" s="13">
        <f t="shared" si="4"/>
        <v>6858</v>
      </c>
      <c r="F51" s="91">
        <f t="shared" si="6"/>
        <v>1.5429</v>
      </c>
      <c r="H51" s="118"/>
    </row>
    <row r="52" spans="1:8" ht="42" customHeight="1">
      <c r="A52" s="42" t="s">
        <v>119</v>
      </c>
      <c r="B52" s="51" t="s">
        <v>144</v>
      </c>
      <c r="C52" s="92">
        <v>51</v>
      </c>
      <c r="D52" s="35">
        <f>C52-48</f>
        <v>3</v>
      </c>
      <c r="E52" s="92">
        <f>IF(C52=D52,"-",D52-C52)</f>
        <v>-48</v>
      </c>
      <c r="F52" s="98">
        <f t="shared" si="6"/>
        <v>0.0588</v>
      </c>
      <c r="H52" s="118"/>
    </row>
    <row r="53" spans="1:8" ht="31.5" customHeight="1">
      <c r="A53" s="42" t="s">
        <v>35</v>
      </c>
      <c r="B53" s="51" t="s">
        <v>63</v>
      </c>
      <c r="C53" s="92">
        <v>11837</v>
      </c>
      <c r="D53" s="35">
        <f>C53+7300</f>
        <v>19137</v>
      </c>
      <c r="E53" s="92">
        <f>IF(C53=D53,"-",D53-C53)</f>
        <v>7300</v>
      </c>
      <c r="F53" s="98">
        <f t="shared" si="6"/>
        <v>1.6167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6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744</v>
      </c>
      <c r="D55" s="35">
        <f>C55-394</f>
        <v>350</v>
      </c>
      <c r="E55" s="92">
        <f>IF(C55=D55,"-",D55-C55)</f>
        <v>-394</v>
      </c>
      <c r="F55" s="98">
        <f t="shared" si="6"/>
        <v>0.4704</v>
      </c>
      <c r="H55" s="118"/>
    </row>
    <row r="56" spans="1:8" ht="32.25" customHeight="1">
      <c r="A56" s="44" t="s">
        <v>127</v>
      </c>
      <c r="B56" s="56" t="s">
        <v>154</v>
      </c>
      <c r="C56" s="109">
        <v>10800</v>
      </c>
      <c r="D56" s="38">
        <f>C56-7300</f>
        <v>3500</v>
      </c>
      <c r="E56" s="13">
        <f>IF(C56=D56,"-",D56-C56)</f>
        <v>-7300</v>
      </c>
      <c r="F56" s="91">
        <f>IF(C56=0,"-",D56/C56)</f>
        <v>0.3241</v>
      </c>
      <c r="H56" s="118"/>
    </row>
    <row r="72" ht="54" customHeight="1"/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74"/>
  <sheetViews>
    <sheetView showGridLines="0" zoomScale="55" zoomScaleNormal="55" zoomScaleSheetLayoutView="55" zoomScalePageLayoutView="0" workbookViewId="0" topLeftCell="A1">
      <pane xSplit="2" ySplit="7" topLeftCell="C3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4.25390625" style="2" customWidth="1"/>
    <col min="7" max="8" width="9.125" style="2" customWidth="1"/>
    <col min="9" max="16384" width="9.125" style="2" customWidth="1"/>
  </cols>
  <sheetData>
    <row r="1" spans="1:6" s="59" customFormat="1" ht="30" customHeight="1">
      <c r="A1" s="162" t="str">
        <f>NFZ!A1</f>
        <v>ZMIANA PLANU FINANSOWEGO NARODOWEGO FUNDUSZU ZDROWIA NA 2010 ROK Z 16 GRUDNIA 2010 R.</v>
      </c>
      <c r="B1" s="162"/>
      <c r="C1" s="162"/>
      <c r="D1" s="162"/>
      <c r="E1" s="162"/>
      <c r="F1" s="162"/>
    </row>
    <row r="2" spans="1:3" s="60" customFormat="1" ht="30.75" customHeight="1">
      <c r="A2" s="163" t="s">
        <v>74</v>
      </c>
      <c r="B2" s="163"/>
      <c r="C2" s="163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65" t="s">
        <v>164</v>
      </c>
      <c r="B4" s="164" t="s">
        <v>62</v>
      </c>
      <c r="C4" s="160" t="s">
        <v>201</v>
      </c>
      <c r="D4" s="157" t="s">
        <v>158</v>
      </c>
      <c r="E4" s="159" t="s">
        <v>163</v>
      </c>
      <c r="F4" s="159" t="s">
        <v>162</v>
      </c>
    </row>
    <row r="5" spans="1:6" s="6" customFormat="1" ht="33" customHeight="1">
      <c r="A5" s="164"/>
      <c r="B5" s="164"/>
      <c r="C5" s="161"/>
      <c r="D5" s="158"/>
      <c r="E5" s="159"/>
      <c r="F5" s="159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1433525</v>
      </c>
      <c r="D7" s="16">
        <f>D8+D9+D10+D12+D13+D14+D15+D16+D17+D18+D19+D20+D21+D22+D24+D25+D26+D27</f>
        <v>1433525</v>
      </c>
      <c r="E7" s="13" t="str">
        <f>IF(C7=D7,"-",D7-C7)</f>
        <v>-</v>
      </c>
      <c r="F7" s="86">
        <f>IF(C7=0,"-",D7/C7)</f>
        <v>1</v>
      </c>
      <c r="H7" s="118"/>
    </row>
    <row r="8" spans="1:8" ht="31.5" customHeight="1">
      <c r="A8" s="40" t="s">
        <v>1</v>
      </c>
      <c r="B8" s="100" t="s">
        <v>165</v>
      </c>
      <c r="C8" s="107">
        <v>192600</v>
      </c>
      <c r="D8" s="36">
        <f>C8</f>
        <v>192600</v>
      </c>
      <c r="E8" s="87" t="str">
        <f aca="true" t="shared" si="0" ref="E8:E29">IF(C8=D8,"-",D8-C8)</f>
        <v>-</v>
      </c>
      <c r="F8" s="88">
        <f aca="true" t="shared" si="1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07">
        <v>109111</v>
      </c>
      <c r="D9" s="36">
        <f aca="true" t="shared" si="2" ref="D9:D27">C9</f>
        <v>109111</v>
      </c>
      <c r="E9" s="87" t="str">
        <f t="shared" si="0"/>
        <v>-</v>
      </c>
      <c r="F9" s="88">
        <f t="shared" si="1"/>
        <v>1</v>
      </c>
      <c r="H9" s="118"/>
    </row>
    <row r="10" spans="1:8" ht="31.5" customHeight="1">
      <c r="A10" s="40" t="s">
        <v>3</v>
      </c>
      <c r="B10" s="100" t="s">
        <v>157</v>
      </c>
      <c r="C10" s="107">
        <v>662990</v>
      </c>
      <c r="D10" s="36">
        <f t="shared" si="2"/>
        <v>662990</v>
      </c>
      <c r="E10" s="87" t="str">
        <f t="shared" si="0"/>
        <v>-</v>
      </c>
      <c r="F10" s="88">
        <f t="shared" si="1"/>
        <v>1</v>
      </c>
      <c r="H10" s="118"/>
    </row>
    <row r="11" spans="1:8" ht="31.5" customHeight="1">
      <c r="A11" s="101" t="s">
        <v>64</v>
      </c>
      <c r="B11" s="45" t="s">
        <v>65</v>
      </c>
      <c r="C11" s="107">
        <v>34510</v>
      </c>
      <c r="D11" s="36">
        <f>C11</f>
        <v>34510</v>
      </c>
      <c r="E11" s="87" t="str">
        <f t="shared" si="0"/>
        <v>-</v>
      </c>
      <c r="F11" s="88">
        <f t="shared" si="1"/>
        <v>1</v>
      </c>
      <c r="H11" s="118"/>
    </row>
    <row r="12" spans="1:8" ht="31.5" customHeight="1">
      <c r="A12" s="40" t="s">
        <v>4</v>
      </c>
      <c r="B12" s="100" t="s">
        <v>172</v>
      </c>
      <c r="C12" s="107">
        <v>76256</v>
      </c>
      <c r="D12" s="36">
        <f>C12</f>
        <v>76256</v>
      </c>
      <c r="E12" s="87" t="str">
        <f t="shared" si="0"/>
        <v>-</v>
      </c>
      <c r="F12" s="88">
        <f t="shared" si="1"/>
        <v>1</v>
      </c>
      <c r="H12" s="118"/>
    </row>
    <row r="13" spans="1:8" ht="31.5" customHeight="1">
      <c r="A13" s="40" t="s">
        <v>5</v>
      </c>
      <c r="B13" s="100" t="s">
        <v>167</v>
      </c>
      <c r="C13" s="107">
        <v>40171</v>
      </c>
      <c r="D13" s="36">
        <f t="shared" si="2"/>
        <v>40171</v>
      </c>
      <c r="E13" s="87" t="str">
        <f t="shared" si="0"/>
        <v>-</v>
      </c>
      <c r="F13" s="88">
        <f t="shared" si="1"/>
        <v>1</v>
      </c>
      <c r="H13" s="118"/>
    </row>
    <row r="14" spans="1:8" ht="31.5" customHeight="1">
      <c r="A14" s="40" t="s">
        <v>6</v>
      </c>
      <c r="B14" s="100" t="s">
        <v>176</v>
      </c>
      <c r="C14" s="107">
        <v>18926</v>
      </c>
      <c r="D14" s="36">
        <f t="shared" si="2"/>
        <v>18926</v>
      </c>
      <c r="E14" s="87" t="str">
        <f t="shared" si="0"/>
        <v>-</v>
      </c>
      <c r="F14" s="88">
        <f t="shared" si="1"/>
        <v>1</v>
      </c>
      <c r="H14" s="118"/>
    </row>
    <row r="15" spans="1:8" ht="31.5" customHeight="1">
      <c r="A15" s="40" t="s">
        <v>7</v>
      </c>
      <c r="B15" s="100" t="s">
        <v>175</v>
      </c>
      <c r="C15" s="107">
        <v>7761</v>
      </c>
      <c r="D15" s="36">
        <f t="shared" si="2"/>
        <v>7761</v>
      </c>
      <c r="E15" s="87" t="str">
        <f>IF(C15=D15,"-",D15-C15)</f>
        <v>-</v>
      </c>
      <c r="F15" s="88">
        <f>IF(C15=0,"-",D15/C15)</f>
        <v>1</v>
      </c>
      <c r="H15" s="118"/>
    </row>
    <row r="16" spans="1:8" ht="31.5" customHeight="1">
      <c r="A16" s="40" t="s">
        <v>8</v>
      </c>
      <c r="B16" s="100" t="s">
        <v>168</v>
      </c>
      <c r="C16" s="107">
        <v>37832</v>
      </c>
      <c r="D16" s="36">
        <f>C16</f>
        <v>37832</v>
      </c>
      <c r="E16" s="87" t="str">
        <f t="shared" si="0"/>
        <v>-</v>
      </c>
      <c r="F16" s="88">
        <f t="shared" si="1"/>
        <v>1</v>
      </c>
      <c r="H16" s="118"/>
    </row>
    <row r="17" spans="1:8" ht="31.5" customHeight="1">
      <c r="A17" s="40" t="s">
        <v>9</v>
      </c>
      <c r="B17" s="100" t="s">
        <v>169</v>
      </c>
      <c r="C17" s="107">
        <v>11300</v>
      </c>
      <c r="D17" s="36">
        <f>C17</f>
        <v>11300</v>
      </c>
      <c r="E17" s="87" t="str">
        <f t="shared" si="0"/>
        <v>-</v>
      </c>
      <c r="F17" s="88">
        <f t="shared" si="1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2300</v>
      </c>
      <c r="D18" s="36">
        <f t="shared" si="2"/>
        <v>2300</v>
      </c>
      <c r="E18" s="87" t="str">
        <f t="shared" si="0"/>
        <v>-</v>
      </c>
      <c r="F18" s="88">
        <f t="shared" si="1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4077</v>
      </c>
      <c r="D19" s="36">
        <f t="shared" si="2"/>
        <v>4077</v>
      </c>
      <c r="E19" s="87" t="str">
        <f t="shared" si="0"/>
        <v>-</v>
      </c>
      <c r="F19" s="88">
        <f t="shared" si="1"/>
        <v>1</v>
      </c>
      <c r="H19" s="118"/>
    </row>
    <row r="20" spans="1:8" ht="31.5" customHeight="1">
      <c r="A20" s="40" t="s">
        <v>12</v>
      </c>
      <c r="B20" s="100" t="s">
        <v>171</v>
      </c>
      <c r="C20" s="107">
        <v>36187</v>
      </c>
      <c r="D20" s="36">
        <f t="shared" si="2"/>
        <v>36187</v>
      </c>
      <c r="E20" s="87" t="str">
        <f t="shared" si="0"/>
        <v>-</v>
      </c>
      <c r="F20" s="88">
        <f t="shared" si="1"/>
        <v>1</v>
      </c>
      <c r="H20" s="118"/>
    </row>
    <row r="21" spans="1:8" ht="31.5" customHeight="1">
      <c r="A21" s="40" t="s">
        <v>14</v>
      </c>
      <c r="B21" s="46" t="s">
        <v>13</v>
      </c>
      <c r="C21" s="107">
        <v>17250</v>
      </c>
      <c r="D21" s="36">
        <f t="shared" si="2"/>
        <v>17250</v>
      </c>
      <c r="E21" s="87" t="str">
        <f t="shared" si="0"/>
        <v>-</v>
      </c>
      <c r="F21" s="88">
        <f t="shared" si="1"/>
        <v>1</v>
      </c>
      <c r="H21" s="118"/>
    </row>
    <row r="22" spans="1:8" ht="31.5" customHeight="1">
      <c r="A22" s="41" t="s">
        <v>15</v>
      </c>
      <c r="B22" s="100" t="s">
        <v>173</v>
      </c>
      <c r="C22" s="107">
        <v>201174</v>
      </c>
      <c r="D22" s="36">
        <f t="shared" si="2"/>
        <v>201174</v>
      </c>
      <c r="E22" s="87" t="str">
        <f t="shared" si="0"/>
        <v>-</v>
      </c>
      <c r="F22" s="88">
        <f t="shared" si="1"/>
        <v>1</v>
      </c>
      <c r="H22" s="118"/>
    </row>
    <row r="23" spans="1:8" ht="31.5" customHeight="1">
      <c r="A23" s="39" t="s">
        <v>178</v>
      </c>
      <c r="B23" s="45" t="s">
        <v>66</v>
      </c>
      <c r="C23" s="107">
        <v>400</v>
      </c>
      <c r="D23" s="36">
        <f t="shared" si="2"/>
        <v>400</v>
      </c>
      <c r="E23" s="87" t="str">
        <f t="shared" si="0"/>
        <v>-</v>
      </c>
      <c r="F23" s="88">
        <f t="shared" si="1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 t="shared" si="2"/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 t="shared" si="2"/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 t="shared" si="2"/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15590</v>
      </c>
      <c r="D27" s="36">
        <f t="shared" si="2"/>
        <v>15590</v>
      </c>
      <c r="E27" s="87" t="str">
        <f>IF(C27=D27,"-",D27-C27)</f>
        <v>-</v>
      </c>
      <c r="F27" s="88">
        <f>IF(C27=0,"-",D27/C27)</f>
        <v>1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>C28</f>
        <v>0</v>
      </c>
      <c r="E28" s="15" t="str">
        <f t="shared" si="0"/>
        <v>-</v>
      </c>
      <c r="F28" s="116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61433</v>
      </c>
      <c r="D29" s="115">
        <v>61433</v>
      </c>
      <c r="E29" s="15" t="str">
        <f t="shared" si="0"/>
        <v>-</v>
      </c>
      <c r="F29" s="116">
        <f t="shared" si="1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15988</v>
      </c>
      <c r="D30" s="34">
        <f>D31+D32+D33+D41+D42+D48+D49+D50+D47</f>
        <v>15988</v>
      </c>
      <c r="E30" s="13" t="str">
        <f>IF(C30=D30,"-",D30-C30)</f>
        <v>-</v>
      </c>
      <c r="F30" s="89">
        <f t="shared" si="1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607</v>
      </c>
      <c r="D31" s="35">
        <f>C31</f>
        <v>607</v>
      </c>
      <c r="E31" s="87" t="str">
        <f aca="true" t="shared" si="3" ref="E31:E51">IF(C31=D31,"-",D31-C31)</f>
        <v>-</v>
      </c>
      <c r="F31" s="88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1762</v>
      </c>
      <c r="D32" s="35">
        <f aca="true" t="shared" si="4" ref="D32:D50">C32</f>
        <v>1762</v>
      </c>
      <c r="E32" s="87" t="str">
        <f t="shared" si="3"/>
        <v>-</v>
      </c>
      <c r="F32" s="88">
        <f t="shared" si="1"/>
        <v>1</v>
      </c>
      <c r="H32" s="118"/>
    </row>
    <row r="33" spans="1:8" ht="28.5" customHeight="1">
      <c r="A33" s="42" t="s">
        <v>23</v>
      </c>
      <c r="B33" s="51" t="s">
        <v>37</v>
      </c>
      <c r="C33" s="35">
        <v>124</v>
      </c>
      <c r="D33" s="35">
        <v>124</v>
      </c>
      <c r="E33" s="87" t="str">
        <f t="shared" si="3"/>
        <v>-</v>
      </c>
      <c r="F33" s="88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26</v>
      </c>
      <c r="D34" s="35">
        <f t="shared" si="4"/>
        <v>26</v>
      </c>
      <c r="E34" s="87" t="str">
        <f t="shared" si="3"/>
        <v>-</v>
      </c>
      <c r="F34" s="88">
        <f t="shared" si="1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26</v>
      </c>
      <c r="D35" s="35">
        <f t="shared" si="4"/>
        <v>26</v>
      </c>
      <c r="E35" s="87" t="str">
        <f t="shared" si="3"/>
        <v>-</v>
      </c>
      <c r="F35" s="88">
        <f t="shared" si="1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0</v>
      </c>
      <c r="D36" s="35">
        <f t="shared" si="4"/>
        <v>0</v>
      </c>
      <c r="E36" s="87" t="str">
        <f t="shared" si="3"/>
        <v>-</v>
      </c>
      <c r="F36" s="88" t="str">
        <f t="shared" si="1"/>
        <v>-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4"/>
        <v>0</v>
      </c>
      <c r="E37" s="87" t="str">
        <f t="shared" si="3"/>
        <v>-</v>
      </c>
      <c r="F37" s="88" t="str">
        <f t="shared" si="1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4"/>
        <v>0</v>
      </c>
      <c r="E38" s="87" t="str">
        <f t="shared" si="3"/>
        <v>-</v>
      </c>
      <c r="F38" s="88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98</v>
      </c>
      <c r="D39" s="35">
        <f t="shared" si="4"/>
        <v>98</v>
      </c>
      <c r="E39" s="87" t="str">
        <f t="shared" si="3"/>
        <v>-</v>
      </c>
      <c r="F39" s="88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0</v>
      </c>
      <c r="D40" s="35">
        <f t="shared" si="4"/>
        <v>0</v>
      </c>
      <c r="E40" s="87" t="str">
        <f t="shared" si="3"/>
        <v>-</v>
      </c>
      <c r="F40" s="88" t="str">
        <f t="shared" si="1"/>
        <v>-</v>
      </c>
      <c r="H40" s="118"/>
    </row>
    <row r="41" spans="1:8" ht="28.5" customHeight="1">
      <c r="A41" s="42" t="s">
        <v>24</v>
      </c>
      <c r="B41" s="51" t="s">
        <v>25</v>
      </c>
      <c r="C41" s="35">
        <v>7964</v>
      </c>
      <c r="D41" s="35">
        <f t="shared" si="4"/>
        <v>7964</v>
      </c>
      <c r="E41" s="87" t="str">
        <f t="shared" si="3"/>
        <v>-</v>
      </c>
      <c r="F41" s="88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v>1613</v>
      </c>
      <c r="D42" s="106">
        <f>D43+D44+D45+D46</f>
        <v>1613</v>
      </c>
      <c r="E42" s="87" t="str">
        <f t="shared" si="3"/>
        <v>-</v>
      </c>
      <c r="F42" s="88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1210</v>
      </c>
      <c r="D43" s="35">
        <f t="shared" si="4"/>
        <v>1210</v>
      </c>
      <c r="E43" s="87" t="str">
        <f t="shared" si="3"/>
        <v>-</v>
      </c>
      <c r="F43" s="88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195</v>
      </c>
      <c r="D44" s="35">
        <f t="shared" si="4"/>
        <v>195</v>
      </c>
      <c r="E44" s="87" t="str">
        <f t="shared" si="3"/>
        <v>-</v>
      </c>
      <c r="F44" s="88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7" t="str">
        <f t="shared" si="3"/>
        <v>-</v>
      </c>
      <c r="F45" s="88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208</v>
      </c>
      <c r="D46" s="35">
        <f t="shared" si="4"/>
        <v>208</v>
      </c>
      <c r="E46" s="87" t="str">
        <f t="shared" si="3"/>
        <v>-</v>
      </c>
      <c r="F46" s="88">
        <f t="shared" si="1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4"/>
        <v>0</v>
      </c>
      <c r="E47" s="87" t="str">
        <f t="shared" si="3"/>
        <v>-</v>
      </c>
      <c r="F47" s="88" t="str">
        <f aca="true" t="shared" si="5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3370</v>
      </c>
      <c r="D48" s="35">
        <f t="shared" si="4"/>
        <v>3370</v>
      </c>
      <c r="E48" s="87" t="str">
        <f t="shared" si="3"/>
        <v>-</v>
      </c>
      <c r="F48" s="90">
        <f t="shared" si="5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301</v>
      </c>
      <c r="D49" s="35">
        <f t="shared" si="4"/>
        <v>301</v>
      </c>
      <c r="E49" s="87" t="str">
        <f t="shared" si="3"/>
        <v>-</v>
      </c>
      <c r="F49" s="90">
        <f t="shared" si="5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247</v>
      </c>
      <c r="D50" s="35">
        <f t="shared" si="4"/>
        <v>247</v>
      </c>
      <c r="E50" s="87" t="str">
        <f t="shared" si="3"/>
        <v>-</v>
      </c>
      <c r="F50" s="88">
        <f t="shared" si="5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9200</v>
      </c>
      <c r="D51" s="38">
        <f>SUM(D52:D55)</f>
        <v>3550</v>
      </c>
      <c r="E51" s="13">
        <f t="shared" si="3"/>
        <v>-5650</v>
      </c>
      <c r="F51" s="91">
        <f t="shared" si="5"/>
        <v>0.3859</v>
      </c>
      <c r="H51" s="118"/>
    </row>
    <row r="52" spans="1:8" ht="42" customHeight="1">
      <c r="A52" s="42" t="s">
        <v>119</v>
      </c>
      <c r="B52" s="51" t="s">
        <v>144</v>
      </c>
      <c r="C52" s="92">
        <v>4087</v>
      </c>
      <c r="D52" s="35">
        <f>C52-987</f>
        <v>3100</v>
      </c>
      <c r="E52" s="92">
        <f>IF(C52=D52,"-",D52-C52)</f>
        <v>-987</v>
      </c>
      <c r="F52" s="98">
        <f t="shared" si="5"/>
        <v>0.7585</v>
      </c>
      <c r="H52" s="118"/>
    </row>
    <row r="53" spans="1:8" ht="31.5" customHeight="1">
      <c r="A53" s="42" t="s">
        <v>35</v>
      </c>
      <c r="B53" s="51" t="s">
        <v>63</v>
      </c>
      <c r="C53" s="92">
        <v>4913</v>
      </c>
      <c r="D53" s="35">
        <f>C53-4663</f>
        <v>250</v>
      </c>
      <c r="E53" s="92">
        <f>IF(C53=D53,"-",D53-C53)</f>
        <v>-4663</v>
      </c>
      <c r="F53" s="98">
        <f t="shared" si="5"/>
        <v>0.0509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5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200</v>
      </c>
      <c r="D55" s="35">
        <f>C55</f>
        <v>200</v>
      </c>
      <c r="E55" s="92" t="str">
        <f>IF(C55=D55,"-",D55-C55)</f>
        <v>-</v>
      </c>
      <c r="F55" s="98">
        <f t="shared" si="5"/>
        <v>1</v>
      </c>
      <c r="H55" s="118"/>
    </row>
    <row r="56" spans="1:8" ht="32.25" customHeight="1">
      <c r="A56" s="44" t="s">
        <v>127</v>
      </c>
      <c r="B56" s="56" t="s">
        <v>154</v>
      </c>
      <c r="C56" s="109">
        <v>166</v>
      </c>
      <c r="D56" s="38">
        <f>C56-66</f>
        <v>100</v>
      </c>
      <c r="E56" s="13">
        <f>IF(C56=D56,"-",D56-C56)</f>
        <v>-66</v>
      </c>
      <c r="F56" s="91">
        <f>IF(C56=0,"-",D56/C56)</f>
        <v>0.6024</v>
      </c>
      <c r="H56" s="118"/>
    </row>
    <row r="72" ht="54" customHeight="1"/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74"/>
  <sheetViews>
    <sheetView showGridLines="0" zoomScale="55" zoomScaleNormal="55" zoomScaleSheetLayoutView="55" zoomScalePageLayoutView="0" workbookViewId="0" topLeftCell="A1">
      <pane xSplit="2" ySplit="7" topLeftCell="C3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8" width="9.125" style="2" customWidth="1"/>
    <col min="9" max="16384" width="9.125" style="2" customWidth="1"/>
  </cols>
  <sheetData>
    <row r="1" spans="1:6" s="59" customFormat="1" ht="30" customHeight="1">
      <c r="A1" s="162" t="str">
        <f>NFZ!A1</f>
        <v>ZMIANA PLANU FINANSOWEGO NARODOWEGO FUNDUSZU ZDROWIA NA 2010 ROK Z 16 GRUDNIA 2010 R.</v>
      </c>
      <c r="B1" s="162"/>
      <c r="C1" s="162"/>
      <c r="D1" s="162"/>
      <c r="E1" s="162"/>
      <c r="F1" s="162"/>
    </row>
    <row r="2" spans="1:3" s="60" customFormat="1" ht="30.75" customHeight="1">
      <c r="A2" s="163" t="s">
        <v>75</v>
      </c>
      <c r="B2" s="163"/>
      <c r="C2" s="163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65" t="s">
        <v>164</v>
      </c>
      <c r="B4" s="164" t="s">
        <v>62</v>
      </c>
      <c r="C4" s="160" t="s">
        <v>201</v>
      </c>
      <c r="D4" s="157" t="s">
        <v>158</v>
      </c>
      <c r="E4" s="159" t="s">
        <v>163</v>
      </c>
      <c r="F4" s="159" t="s">
        <v>162</v>
      </c>
    </row>
    <row r="5" spans="1:6" s="6" customFormat="1" ht="33" customHeight="1">
      <c r="A5" s="164"/>
      <c r="B5" s="164"/>
      <c r="C5" s="161"/>
      <c r="D5" s="158"/>
      <c r="E5" s="159"/>
      <c r="F5" s="159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3901847</v>
      </c>
      <c r="D7" s="16">
        <f>D8+D9+D10+D12+D13+D14+D15+D16+D17+D18+D19+D20+D21+D22+D24+D25+D26+D27</f>
        <v>3901847</v>
      </c>
      <c r="E7" s="13" t="str">
        <f>IF(C7=D7,"-",D7-C7)</f>
        <v>-</v>
      </c>
      <c r="F7" s="86">
        <f>IF(C7=0,"-",D7/C7)</f>
        <v>1</v>
      </c>
      <c r="H7" s="118"/>
    </row>
    <row r="8" spans="1:8" ht="31.5" customHeight="1">
      <c r="A8" s="40" t="s">
        <v>1</v>
      </c>
      <c r="B8" s="100" t="s">
        <v>165</v>
      </c>
      <c r="C8" s="107">
        <v>493929</v>
      </c>
      <c r="D8" s="36">
        <f>C8</f>
        <v>493929</v>
      </c>
      <c r="E8" s="87" t="str">
        <f aca="true" t="shared" si="0" ref="E8:E29">IF(C8=D8,"-",D8-C8)</f>
        <v>-</v>
      </c>
      <c r="F8" s="88">
        <f aca="true" t="shared" si="1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07">
        <v>250622</v>
      </c>
      <c r="D9" s="36">
        <f>C9</f>
        <v>250622</v>
      </c>
      <c r="E9" s="87" t="str">
        <f t="shared" si="0"/>
        <v>-</v>
      </c>
      <c r="F9" s="88">
        <f t="shared" si="1"/>
        <v>1</v>
      </c>
      <c r="H9" s="118"/>
    </row>
    <row r="10" spans="1:8" ht="31.5" customHeight="1">
      <c r="A10" s="40" t="s">
        <v>3</v>
      </c>
      <c r="B10" s="100" t="s">
        <v>157</v>
      </c>
      <c r="C10" s="107">
        <v>1878270</v>
      </c>
      <c r="D10" s="36">
        <f aca="true" t="shared" si="2" ref="D10:D24">C10</f>
        <v>1878270</v>
      </c>
      <c r="E10" s="87" t="str">
        <f t="shared" si="0"/>
        <v>-</v>
      </c>
      <c r="F10" s="88">
        <f t="shared" si="1"/>
        <v>1</v>
      </c>
      <c r="H10" s="118"/>
    </row>
    <row r="11" spans="1:8" ht="31.5" customHeight="1">
      <c r="A11" s="101" t="s">
        <v>64</v>
      </c>
      <c r="B11" s="45" t="s">
        <v>65</v>
      </c>
      <c r="C11" s="107">
        <v>95182</v>
      </c>
      <c r="D11" s="36">
        <f t="shared" si="2"/>
        <v>95182</v>
      </c>
      <c r="E11" s="87" t="str">
        <f t="shared" si="0"/>
        <v>-</v>
      </c>
      <c r="F11" s="88">
        <f t="shared" si="1"/>
        <v>1</v>
      </c>
      <c r="H11" s="118"/>
    </row>
    <row r="12" spans="1:8" ht="31.5" customHeight="1">
      <c r="A12" s="40" t="s">
        <v>4</v>
      </c>
      <c r="B12" s="100" t="s">
        <v>172</v>
      </c>
      <c r="C12" s="107">
        <v>135384</v>
      </c>
      <c r="D12" s="36">
        <f t="shared" si="2"/>
        <v>135384</v>
      </c>
      <c r="E12" s="87" t="str">
        <f t="shared" si="0"/>
        <v>-</v>
      </c>
      <c r="F12" s="88">
        <f t="shared" si="1"/>
        <v>1</v>
      </c>
      <c r="H12" s="118"/>
    </row>
    <row r="13" spans="1:8" ht="31.5" customHeight="1">
      <c r="A13" s="40" t="s">
        <v>5</v>
      </c>
      <c r="B13" s="100" t="s">
        <v>167</v>
      </c>
      <c r="C13" s="107">
        <v>106608</v>
      </c>
      <c r="D13" s="36">
        <f t="shared" si="2"/>
        <v>106608</v>
      </c>
      <c r="E13" s="87" t="str">
        <f t="shared" si="0"/>
        <v>-</v>
      </c>
      <c r="F13" s="88">
        <f t="shared" si="1"/>
        <v>1</v>
      </c>
      <c r="H13" s="118"/>
    </row>
    <row r="14" spans="1:8" ht="31.5" customHeight="1">
      <c r="A14" s="40" t="s">
        <v>6</v>
      </c>
      <c r="B14" s="100" t="s">
        <v>176</v>
      </c>
      <c r="C14" s="107">
        <v>46012</v>
      </c>
      <c r="D14" s="36">
        <f t="shared" si="2"/>
        <v>46012</v>
      </c>
      <c r="E14" s="87" t="str">
        <f t="shared" si="0"/>
        <v>-</v>
      </c>
      <c r="F14" s="88">
        <f t="shared" si="1"/>
        <v>1</v>
      </c>
      <c r="H14" s="118"/>
    </row>
    <row r="15" spans="1:8" ht="31.5" customHeight="1">
      <c r="A15" s="40" t="s">
        <v>7</v>
      </c>
      <c r="B15" s="100" t="s">
        <v>175</v>
      </c>
      <c r="C15" s="107">
        <v>17899</v>
      </c>
      <c r="D15" s="36">
        <f t="shared" si="2"/>
        <v>17899</v>
      </c>
      <c r="E15" s="87" t="str">
        <f>IF(C15=D15,"-",D15-C15)</f>
        <v>-</v>
      </c>
      <c r="F15" s="88">
        <f>IF(C15=0,"-",D15/C15)</f>
        <v>1</v>
      </c>
      <c r="H15" s="118"/>
    </row>
    <row r="16" spans="1:8" ht="31.5" customHeight="1">
      <c r="A16" s="40" t="s">
        <v>8</v>
      </c>
      <c r="B16" s="100" t="s">
        <v>168</v>
      </c>
      <c r="C16" s="107">
        <v>120361</v>
      </c>
      <c r="D16" s="36">
        <f t="shared" si="2"/>
        <v>120361</v>
      </c>
      <c r="E16" s="87" t="str">
        <f t="shared" si="0"/>
        <v>-</v>
      </c>
      <c r="F16" s="88">
        <f t="shared" si="1"/>
        <v>1</v>
      </c>
      <c r="H16" s="118"/>
    </row>
    <row r="17" spans="1:8" ht="31.5" customHeight="1">
      <c r="A17" s="40" t="s">
        <v>9</v>
      </c>
      <c r="B17" s="100" t="s">
        <v>169</v>
      </c>
      <c r="C17" s="107">
        <v>46304</v>
      </c>
      <c r="D17" s="36">
        <f t="shared" si="2"/>
        <v>46304</v>
      </c>
      <c r="E17" s="87" t="str">
        <f t="shared" si="0"/>
        <v>-</v>
      </c>
      <c r="F17" s="88">
        <f t="shared" si="1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2035</v>
      </c>
      <c r="D18" s="36">
        <f t="shared" si="2"/>
        <v>2035</v>
      </c>
      <c r="E18" s="87" t="str">
        <f t="shared" si="0"/>
        <v>-</v>
      </c>
      <c r="F18" s="88">
        <f t="shared" si="1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10059</v>
      </c>
      <c r="D19" s="36">
        <f t="shared" si="2"/>
        <v>10059</v>
      </c>
      <c r="E19" s="87" t="str">
        <f t="shared" si="0"/>
        <v>-</v>
      </c>
      <c r="F19" s="88">
        <f t="shared" si="1"/>
        <v>1</v>
      </c>
      <c r="H19" s="118"/>
    </row>
    <row r="20" spans="1:8" ht="31.5" customHeight="1">
      <c r="A20" s="40" t="s">
        <v>12</v>
      </c>
      <c r="B20" s="100" t="s">
        <v>171</v>
      </c>
      <c r="C20" s="107">
        <v>91888</v>
      </c>
      <c r="D20" s="36">
        <f t="shared" si="2"/>
        <v>91888</v>
      </c>
      <c r="E20" s="87" t="str">
        <f t="shared" si="0"/>
        <v>-</v>
      </c>
      <c r="F20" s="88">
        <f t="shared" si="1"/>
        <v>1</v>
      </c>
      <c r="H20" s="118"/>
    </row>
    <row r="21" spans="1:8" ht="31.5" customHeight="1">
      <c r="A21" s="40" t="s">
        <v>14</v>
      </c>
      <c r="B21" s="46" t="s">
        <v>13</v>
      </c>
      <c r="C21" s="107">
        <v>39438</v>
      </c>
      <c r="D21" s="36">
        <f t="shared" si="2"/>
        <v>39438</v>
      </c>
      <c r="E21" s="87" t="str">
        <f t="shared" si="0"/>
        <v>-</v>
      </c>
      <c r="F21" s="88">
        <f t="shared" si="1"/>
        <v>1</v>
      </c>
      <c r="H21" s="118"/>
    </row>
    <row r="22" spans="1:8" ht="31.5" customHeight="1">
      <c r="A22" s="41" t="s">
        <v>15</v>
      </c>
      <c r="B22" s="100" t="s">
        <v>173</v>
      </c>
      <c r="C22" s="107">
        <v>626613</v>
      </c>
      <c r="D22" s="36">
        <f t="shared" si="2"/>
        <v>626613</v>
      </c>
      <c r="E22" s="87" t="str">
        <f t="shared" si="0"/>
        <v>-</v>
      </c>
      <c r="F22" s="88">
        <f t="shared" si="1"/>
        <v>1</v>
      </c>
      <c r="H22" s="118"/>
    </row>
    <row r="23" spans="1:8" ht="31.5" customHeight="1">
      <c r="A23" s="39" t="s">
        <v>178</v>
      </c>
      <c r="B23" s="45" t="s">
        <v>66</v>
      </c>
      <c r="C23" s="107">
        <v>700</v>
      </c>
      <c r="D23" s="36">
        <f t="shared" si="2"/>
        <v>700</v>
      </c>
      <c r="E23" s="87" t="str">
        <f t="shared" si="0"/>
        <v>-</v>
      </c>
      <c r="F23" s="88">
        <f t="shared" si="1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 t="shared" si="2"/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>C25</f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>C26</f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36425</v>
      </c>
      <c r="D27" s="36">
        <f>C27</f>
        <v>36425</v>
      </c>
      <c r="E27" s="87" t="str">
        <f>IF(C27=D27,"-",D27-C27)</f>
        <v>-</v>
      </c>
      <c r="F27" s="88">
        <f>IF(C27=0,"-",D27/C27)</f>
        <v>1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>C28</f>
        <v>0</v>
      </c>
      <c r="E28" s="15" t="str">
        <f t="shared" si="0"/>
        <v>-</v>
      </c>
      <c r="F28" s="116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113175</v>
      </c>
      <c r="D29" s="115">
        <v>113175</v>
      </c>
      <c r="E29" s="15" t="str">
        <f t="shared" si="0"/>
        <v>-</v>
      </c>
      <c r="F29" s="116">
        <f t="shared" si="1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26853</v>
      </c>
      <c r="D30" s="34">
        <f>D31+D32+D33+D41+D42+D48+D49+D50+D47</f>
        <v>26853</v>
      </c>
      <c r="E30" s="13" t="str">
        <f>IF(C30=D30,"-",D30-C30)</f>
        <v>-</v>
      </c>
      <c r="F30" s="89">
        <f t="shared" si="1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899</v>
      </c>
      <c r="D31" s="35">
        <f>C31</f>
        <v>899</v>
      </c>
      <c r="E31" s="87" t="str">
        <f aca="true" t="shared" si="3" ref="E31:E51">IF(C31=D31,"-",D31-C31)</f>
        <v>-</v>
      </c>
      <c r="F31" s="88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3592</v>
      </c>
      <c r="D32" s="35">
        <f>C32</f>
        <v>3592</v>
      </c>
      <c r="E32" s="87" t="str">
        <f t="shared" si="3"/>
        <v>-</v>
      </c>
      <c r="F32" s="88">
        <f t="shared" si="1"/>
        <v>1</v>
      </c>
      <c r="H32" s="118"/>
    </row>
    <row r="33" spans="1:8" ht="28.5" customHeight="1">
      <c r="A33" s="42" t="s">
        <v>23</v>
      </c>
      <c r="B33" s="51" t="s">
        <v>37</v>
      </c>
      <c r="C33" s="35">
        <v>272</v>
      </c>
      <c r="D33" s="35">
        <f>D34+D36+D37+D38+D39+D40</f>
        <v>272</v>
      </c>
      <c r="E33" s="87" t="str">
        <f t="shared" si="3"/>
        <v>-</v>
      </c>
      <c r="F33" s="88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10</v>
      </c>
      <c r="D34" s="35">
        <f>C34</f>
        <v>10</v>
      </c>
      <c r="E34" s="87" t="str">
        <f t="shared" si="3"/>
        <v>-</v>
      </c>
      <c r="F34" s="88">
        <f t="shared" si="1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10</v>
      </c>
      <c r="D35" s="35">
        <f aca="true" t="shared" si="4" ref="D35:D47">C35</f>
        <v>10</v>
      </c>
      <c r="E35" s="87" t="str">
        <f t="shared" si="3"/>
        <v>-</v>
      </c>
      <c r="F35" s="88">
        <f t="shared" si="1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0</v>
      </c>
      <c r="D36" s="35">
        <f t="shared" si="4"/>
        <v>0</v>
      </c>
      <c r="E36" s="87" t="str">
        <f t="shared" si="3"/>
        <v>-</v>
      </c>
      <c r="F36" s="88" t="str">
        <f t="shared" si="1"/>
        <v>-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4"/>
        <v>0</v>
      </c>
      <c r="E37" s="87" t="str">
        <f t="shared" si="3"/>
        <v>-</v>
      </c>
      <c r="F37" s="88" t="str">
        <f t="shared" si="1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4"/>
        <v>0</v>
      </c>
      <c r="E38" s="87" t="str">
        <f t="shared" si="3"/>
        <v>-</v>
      </c>
      <c r="F38" s="88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259</v>
      </c>
      <c r="D39" s="35">
        <f t="shared" si="4"/>
        <v>259</v>
      </c>
      <c r="E39" s="87" t="str">
        <f t="shared" si="3"/>
        <v>-</v>
      </c>
      <c r="F39" s="88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3</v>
      </c>
      <c r="D40" s="35">
        <f t="shared" si="4"/>
        <v>3</v>
      </c>
      <c r="E40" s="87" t="str">
        <f t="shared" si="3"/>
        <v>-</v>
      </c>
      <c r="F40" s="88">
        <f t="shared" si="1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16636</v>
      </c>
      <c r="D41" s="35">
        <f t="shared" si="4"/>
        <v>16636</v>
      </c>
      <c r="E41" s="87" t="str">
        <f t="shared" si="3"/>
        <v>-</v>
      </c>
      <c r="F41" s="88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v>3357</v>
      </c>
      <c r="D42" s="35">
        <f>SUM(D43:D46)</f>
        <v>3357</v>
      </c>
      <c r="E42" s="87" t="str">
        <f t="shared" si="3"/>
        <v>-</v>
      </c>
      <c r="F42" s="88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2527</v>
      </c>
      <c r="D43" s="35">
        <f>C43</f>
        <v>2527</v>
      </c>
      <c r="E43" s="87" t="str">
        <f t="shared" si="3"/>
        <v>-</v>
      </c>
      <c r="F43" s="88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408</v>
      </c>
      <c r="D44" s="35">
        <f>C44</f>
        <v>408</v>
      </c>
      <c r="E44" s="87" t="str">
        <f t="shared" si="3"/>
        <v>-</v>
      </c>
      <c r="F44" s="88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7" t="str">
        <f t="shared" si="3"/>
        <v>-</v>
      </c>
      <c r="F45" s="88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422</v>
      </c>
      <c r="D46" s="35">
        <f>C46</f>
        <v>422</v>
      </c>
      <c r="E46" s="87" t="str">
        <f t="shared" si="3"/>
        <v>-</v>
      </c>
      <c r="F46" s="88">
        <f t="shared" si="1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4"/>
        <v>0</v>
      </c>
      <c r="E47" s="87" t="str">
        <f t="shared" si="3"/>
        <v>-</v>
      </c>
      <c r="F47" s="88" t="str">
        <f aca="true" t="shared" si="5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1748</v>
      </c>
      <c r="D48" s="35">
        <f>C48</f>
        <v>1748</v>
      </c>
      <c r="E48" s="87" t="str">
        <f t="shared" si="3"/>
        <v>-</v>
      </c>
      <c r="F48" s="90">
        <f t="shared" si="5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177</v>
      </c>
      <c r="D49" s="35">
        <f>C49</f>
        <v>177</v>
      </c>
      <c r="E49" s="87" t="str">
        <f t="shared" si="3"/>
        <v>-</v>
      </c>
      <c r="F49" s="90">
        <f t="shared" si="5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172</v>
      </c>
      <c r="D50" s="35">
        <f>C50</f>
        <v>172</v>
      </c>
      <c r="E50" s="87" t="str">
        <f t="shared" si="3"/>
        <v>-</v>
      </c>
      <c r="F50" s="88">
        <f t="shared" si="5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15480</v>
      </c>
      <c r="D51" s="38">
        <f>SUM(D52:D55)</f>
        <v>5816</v>
      </c>
      <c r="E51" s="13">
        <f t="shared" si="3"/>
        <v>-9664</v>
      </c>
      <c r="F51" s="91">
        <f t="shared" si="5"/>
        <v>0.3757</v>
      </c>
      <c r="H51" s="118"/>
    </row>
    <row r="52" spans="1:8" ht="42" customHeight="1">
      <c r="A52" s="42" t="s">
        <v>119</v>
      </c>
      <c r="B52" s="51" t="s">
        <v>144</v>
      </c>
      <c r="C52" s="92">
        <v>467</v>
      </c>
      <c r="D52" s="35">
        <f>C52-447</f>
        <v>20</v>
      </c>
      <c r="E52" s="92">
        <f>IF(C52=D52,"-",D52-C52)</f>
        <v>-447</v>
      </c>
      <c r="F52" s="98">
        <f t="shared" si="5"/>
        <v>0.0428</v>
      </c>
      <c r="H52" s="118"/>
    </row>
    <row r="53" spans="1:8" ht="31.5" customHeight="1">
      <c r="A53" s="42" t="s">
        <v>35</v>
      </c>
      <c r="B53" s="51" t="s">
        <v>63</v>
      </c>
      <c r="C53" s="92">
        <v>14213</v>
      </c>
      <c r="D53" s="35">
        <f>C53-8693</f>
        <v>5520</v>
      </c>
      <c r="E53" s="92">
        <f>IF(C53=D53,"-",D53-C53)</f>
        <v>-8693</v>
      </c>
      <c r="F53" s="98">
        <f t="shared" si="5"/>
        <v>0.3884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5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800</v>
      </c>
      <c r="D55" s="35">
        <f>C55-524</f>
        <v>276</v>
      </c>
      <c r="E55" s="92">
        <f>IF(C55=D55,"-",D55-C55)</f>
        <v>-524</v>
      </c>
      <c r="F55" s="98">
        <f t="shared" si="5"/>
        <v>0.345</v>
      </c>
      <c r="H55" s="118"/>
    </row>
    <row r="56" spans="1:8" ht="32.25" customHeight="1">
      <c r="A56" s="44" t="s">
        <v>127</v>
      </c>
      <c r="B56" s="56" t="s">
        <v>154</v>
      </c>
      <c r="C56" s="109">
        <v>274</v>
      </c>
      <c r="D56" s="38">
        <f>C56+2338</f>
        <v>2612</v>
      </c>
      <c r="E56" s="13">
        <f>IF(C56=D56,"-",D56-C56)</f>
        <v>2338</v>
      </c>
      <c r="F56" s="91">
        <f>IF(C56=0,"-",D56/C56)</f>
        <v>9.5328</v>
      </c>
      <c r="H56" s="118"/>
    </row>
    <row r="72" ht="54" customHeight="1"/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74"/>
  <sheetViews>
    <sheetView showGridLines="0" zoomScale="55" zoomScaleNormal="55" zoomScaleSheetLayoutView="55" zoomScalePageLayoutView="0" workbookViewId="0" topLeftCell="A1">
      <pane xSplit="1" ySplit="7" topLeftCell="B3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8" width="9.125" style="2" customWidth="1"/>
    <col min="9" max="16384" width="9.125" style="2" customWidth="1"/>
  </cols>
  <sheetData>
    <row r="1" spans="1:6" s="59" customFormat="1" ht="30" customHeight="1">
      <c r="A1" s="162" t="str">
        <f>NFZ!A1</f>
        <v>ZMIANA PLANU FINANSOWEGO NARODOWEGO FUNDUSZU ZDROWIA NA 2010 ROK Z 16 GRUDNIA 2010 R.</v>
      </c>
      <c r="B1" s="162"/>
      <c r="C1" s="162"/>
      <c r="D1" s="162"/>
      <c r="E1" s="162"/>
      <c r="F1" s="162"/>
    </row>
    <row r="2" spans="1:3" s="60" customFormat="1" ht="30.75" customHeight="1">
      <c r="A2" s="163" t="s">
        <v>76</v>
      </c>
      <c r="B2" s="163"/>
      <c r="C2" s="163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31" s="6" customFormat="1" ht="33" customHeight="1">
      <c r="A4" s="165" t="s">
        <v>164</v>
      </c>
      <c r="B4" s="164" t="s">
        <v>62</v>
      </c>
      <c r="C4" s="160" t="s">
        <v>201</v>
      </c>
      <c r="D4" s="157" t="s">
        <v>158</v>
      </c>
      <c r="E4" s="159" t="s">
        <v>163</v>
      </c>
      <c r="F4" s="159" t="s">
        <v>162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</row>
    <row r="5" spans="1:31" s="6" customFormat="1" ht="33" customHeight="1">
      <c r="A5" s="164"/>
      <c r="B5" s="164"/>
      <c r="C5" s="161"/>
      <c r="D5" s="158"/>
      <c r="E5" s="159"/>
      <c r="F5" s="159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</row>
    <row r="6" spans="1:31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</row>
    <row r="7" spans="1:31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4669717</v>
      </c>
      <c r="D7" s="16">
        <f>D8+D9+D10+D12+D13+D14+D15+D16+D17+D18+D19+D20+D21+D22+D24+D25+D26+D27</f>
        <v>4669717</v>
      </c>
      <c r="E7" s="13" t="str">
        <f>IF(C7=D7,"-",D7-C7)</f>
        <v>-</v>
      </c>
      <c r="F7" s="86">
        <f>IF(C7=0,"-",D7/C7)</f>
        <v>1</v>
      </c>
      <c r="G7" s="2"/>
      <c r="H7" s="11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8" ht="31.5" customHeight="1">
      <c r="A8" s="40" t="s">
        <v>1</v>
      </c>
      <c r="B8" s="100" t="s">
        <v>165</v>
      </c>
      <c r="C8" s="107">
        <v>610844</v>
      </c>
      <c r="D8" s="36">
        <f>C8</f>
        <v>610844</v>
      </c>
      <c r="E8" s="87" t="str">
        <f aca="true" t="shared" si="0" ref="E8:E29">IF(C8=D8,"-",D8-C8)</f>
        <v>-</v>
      </c>
      <c r="F8" s="88">
        <f aca="true" t="shared" si="1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07">
        <v>325761</v>
      </c>
      <c r="D9" s="36">
        <f aca="true" t="shared" si="2" ref="D9:D27">C9</f>
        <v>325761</v>
      </c>
      <c r="E9" s="87" t="str">
        <f t="shared" si="0"/>
        <v>-</v>
      </c>
      <c r="F9" s="88">
        <f t="shared" si="1"/>
        <v>1</v>
      </c>
      <c r="H9" s="118"/>
    </row>
    <row r="10" spans="1:8" ht="31.5" customHeight="1">
      <c r="A10" s="40" t="s">
        <v>3</v>
      </c>
      <c r="B10" s="100" t="s">
        <v>157</v>
      </c>
      <c r="C10" s="107">
        <v>2158630</v>
      </c>
      <c r="D10" s="36">
        <f t="shared" si="2"/>
        <v>2158630</v>
      </c>
      <c r="E10" s="87" t="str">
        <f t="shared" si="0"/>
        <v>-</v>
      </c>
      <c r="F10" s="88">
        <f t="shared" si="1"/>
        <v>1</v>
      </c>
      <c r="H10" s="118"/>
    </row>
    <row r="11" spans="1:8" ht="31.5" customHeight="1">
      <c r="A11" s="101" t="s">
        <v>64</v>
      </c>
      <c r="B11" s="45" t="s">
        <v>65</v>
      </c>
      <c r="C11" s="107">
        <v>173895</v>
      </c>
      <c r="D11" s="36">
        <f t="shared" si="2"/>
        <v>173895</v>
      </c>
      <c r="E11" s="87" t="str">
        <f t="shared" si="0"/>
        <v>-</v>
      </c>
      <c r="F11" s="88">
        <f t="shared" si="1"/>
        <v>1</v>
      </c>
      <c r="H11" s="118"/>
    </row>
    <row r="12" spans="1:8" ht="31.5" customHeight="1">
      <c r="A12" s="40" t="s">
        <v>4</v>
      </c>
      <c r="B12" s="100" t="s">
        <v>172</v>
      </c>
      <c r="C12" s="107">
        <v>136520</v>
      </c>
      <c r="D12" s="36">
        <f t="shared" si="2"/>
        <v>136520</v>
      </c>
      <c r="E12" s="87" t="str">
        <f t="shared" si="0"/>
        <v>-</v>
      </c>
      <c r="F12" s="88">
        <f t="shared" si="1"/>
        <v>1</v>
      </c>
      <c r="H12" s="118"/>
    </row>
    <row r="13" spans="1:8" ht="31.5" customHeight="1">
      <c r="A13" s="40" t="s">
        <v>5</v>
      </c>
      <c r="B13" s="100" t="s">
        <v>167</v>
      </c>
      <c r="C13" s="107">
        <v>143613</v>
      </c>
      <c r="D13" s="36">
        <f t="shared" si="2"/>
        <v>143613</v>
      </c>
      <c r="E13" s="87" t="str">
        <f t="shared" si="0"/>
        <v>-</v>
      </c>
      <c r="F13" s="88">
        <f t="shared" si="1"/>
        <v>1</v>
      </c>
      <c r="H13" s="118"/>
    </row>
    <row r="14" spans="1:8" ht="31.5" customHeight="1">
      <c r="A14" s="40" t="s">
        <v>6</v>
      </c>
      <c r="B14" s="100" t="s">
        <v>176</v>
      </c>
      <c r="C14" s="107">
        <v>97305</v>
      </c>
      <c r="D14" s="36">
        <f>C14</f>
        <v>97305</v>
      </c>
      <c r="E14" s="87" t="str">
        <f t="shared" si="0"/>
        <v>-</v>
      </c>
      <c r="F14" s="88">
        <f t="shared" si="1"/>
        <v>1</v>
      </c>
      <c r="H14" s="118"/>
    </row>
    <row r="15" spans="1:8" ht="31.5" customHeight="1">
      <c r="A15" s="40" t="s">
        <v>7</v>
      </c>
      <c r="B15" s="100" t="s">
        <v>175</v>
      </c>
      <c r="C15" s="107">
        <v>21421</v>
      </c>
      <c r="D15" s="36">
        <f t="shared" si="2"/>
        <v>21421</v>
      </c>
      <c r="E15" s="87" t="str">
        <f>IF(C15=D15,"-",D15-C15)</f>
        <v>-</v>
      </c>
      <c r="F15" s="88">
        <f>IF(C15=0,"-",D15/C15)</f>
        <v>1</v>
      </c>
      <c r="H15" s="118"/>
    </row>
    <row r="16" spans="1:8" ht="31.5" customHeight="1">
      <c r="A16" s="40" t="s">
        <v>8</v>
      </c>
      <c r="B16" s="100" t="s">
        <v>168</v>
      </c>
      <c r="C16" s="107">
        <v>166089</v>
      </c>
      <c r="D16" s="36">
        <f t="shared" si="2"/>
        <v>166089</v>
      </c>
      <c r="E16" s="87" t="str">
        <f t="shared" si="0"/>
        <v>-</v>
      </c>
      <c r="F16" s="88">
        <f t="shared" si="1"/>
        <v>1</v>
      </c>
      <c r="H16" s="118"/>
    </row>
    <row r="17" spans="1:8" ht="31.5" customHeight="1">
      <c r="A17" s="40" t="s">
        <v>9</v>
      </c>
      <c r="B17" s="100" t="s">
        <v>169</v>
      </c>
      <c r="C17" s="107">
        <v>40334</v>
      </c>
      <c r="D17" s="36">
        <f>C17</f>
        <v>40334</v>
      </c>
      <c r="E17" s="87" t="str">
        <f t="shared" si="0"/>
        <v>-</v>
      </c>
      <c r="F17" s="88">
        <f t="shared" si="1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1701</v>
      </c>
      <c r="D18" s="36">
        <f t="shared" si="2"/>
        <v>1701</v>
      </c>
      <c r="E18" s="87" t="str">
        <f t="shared" si="0"/>
        <v>-</v>
      </c>
      <c r="F18" s="88">
        <f t="shared" si="1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8450</v>
      </c>
      <c r="D19" s="36">
        <f t="shared" si="2"/>
        <v>8450</v>
      </c>
      <c r="E19" s="87" t="str">
        <f t="shared" si="0"/>
        <v>-</v>
      </c>
      <c r="F19" s="88">
        <f t="shared" si="1"/>
        <v>1</v>
      </c>
      <c r="H19" s="118"/>
    </row>
    <row r="20" spans="1:8" ht="31.5" customHeight="1">
      <c r="A20" s="40" t="s">
        <v>12</v>
      </c>
      <c r="B20" s="100" t="s">
        <v>171</v>
      </c>
      <c r="C20" s="107">
        <v>123489</v>
      </c>
      <c r="D20" s="36">
        <f t="shared" si="2"/>
        <v>123489</v>
      </c>
      <c r="E20" s="87" t="str">
        <f t="shared" si="0"/>
        <v>-</v>
      </c>
      <c r="F20" s="88">
        <f t="shared" si="1"/>
        <v>1</v>
      </c>
      <c r="H20" s="118"/>
    </row>
    <row r="21" spans="1:8" ht="31.5" customHeight="1">
      <c r="A21" s="40" t="s">
        <v>14</v>
      </c>
      <c r="B21" s="46" t="s">
        <v>13</v>
      </c>
      <c r="C21" s="107">
        <v>56860</v>
      </c>
      <c r="D21" s="36">
        <f>C21</f>
        <v>56860</v>
      </c>
      <c r="E21" s="87" t="str">
        <f t="shared" si="0"/>
        <v>-</v>
      </c>
      <c r="F21" s="88">
        <f t="shared" si="1"/>
        <v>1</v>
      </c>
      <c r="H21" s="118"/>
    </row>
    <row r="22" spans="1:8" ht="31.5" customHeight="1">
      <c r="A22" s="41" t="s">
        <v>15</v>
      </c>
      <c r="B22" s="100" t="s">
        <v>173</v>
      </c>
      <c r="C22" s="107">
        <v>745234</v>
      </c>
      <c r="D22" s="36">
        <f t="shared" si="2"/>
        <v>745234</v>
      </c>
      <c r="E22" s="87" t="str">
        <f t="shared" si="0"/>
        <v>-</v>
      </c>
      <c r="F22" s="88">
        <f t="shared" si="1"/>
        <v>1</v>
      </c>
      <c r="H22" s="118"/>
    </row>
    <row r="23" spans="1:8" ht="31.5" customHeight="1">
      <c r="A23" s="39" t="s">
        <v>178</v>
      </c>
      <c r="B23" s="45" t="s">
        <v>66</v>
      </c>
      <c r="C23" s="107">
        <v>4000</v>
      </c>
      <c r="D23" s="36">
        <f t="shared" si="2"/>
        <v>4000</v>
      </c>
      <c r="E23" s="87" t="str">
        <f t="shared" si="0"/>
        <v>-</v>
      </c>
      <c r="F23" s="88">
        <f t="shared" si="1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 t="shared" si="2"/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 t="shared" si="2"/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 t="shared" si="2"/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33466</v>
      </c>
      <c r="D27" s="36">
        <f t="shared" si="2"/>
        <v>33466</v>
      </c>
      <c r="E27" s="87" t="str">
        <f>IF(C27=D27,"-",D27-C27)</f>
        <v>-</v>
      </c>
      <c r="F27" s="88">
        <f>IF(C27=0,"-",D27/C27)</f>
        <v>1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>C28</f>
        <v>0</v>
      </c>
      <c r="E28" s="15" t="str">
        <f t="shared" si="0"/>
        <v>-</v>
      </c>
      <c r="F28" s="116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129614</v>
      </c>
      <c r="D29" s="115">
        <v>129614</v>
      </c>
      <c r="E29" s="15" t="str">
        <f t="shared" si="0"/>
        <v>-</v>
      </c>
      <c r="F29" s="116">
        <f t="shared" si="1"/>
        <v>1</v>
      </c>
      <c r="H29" s="118"/>
    </row>
    <row r="30" spans="1:31" s="3" customFormat="1" ht="30" customHeight="1">
      <c r="A30" s="37" t="s">
        <v>17</v>
      </c>
      <c r="B30" s="57" t="s">
        <v>18</v>
      </c>
      <c r="C30" s="34">
        <f>C31+C32+C33+C41+C42+C48+C49+C50+C47</f>
        <v>34372</v>
      </c>
      <c r="D30" s="34">
        <f>D31+D32+D33+D41+D42+D48+D49+D50+D47</f>
        <v>34372</v>
      </c>
      <c r="E30" s="13" t="str">
        <f>IF(C30=D30,"-",D30-C30)</f>
        <v>-</v>
      </c>
      <c r="F30" s="89">
        <f t="shared" si="1"/>
        <v>1</v>
      </c>
      <c r="G30" s="2"/>
      <c r="H30" s="11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8" ht="28.5" customHeight="1">
      <c r="A31" s="42" t="s">
        <v>19</v>
      </c>
      <c r="B31" s="51" t="s">
        <v>20</v>
      </c>
      <c r="C31" s="92">
        <v>1255</v>
      </c>
      <c r="D31" s="35">
        <f>C31</f>
        <v>1255</v>
      </c>
      <c r="E31" s="87" t="str">
        <f aca="true" t="shared" si="3" ref="E31:E51">IF(C31=D31,"-",D31-C31)</f>
        <v>-</v>
      </c>
      <c r="F31" s="88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3521</v>
      </c>
      <c r="D32" s="35">
        <f>C32</f>
        <v>3521</v>
      </c>
      <c r="E32" s="87" t="str">
        <f t="shared" si="3"/>
        <v>-</v>
      </c>
      <c r="F32" s="88">
        <f t="shared" si="1"/>
        <v>1</v>
      </c>
      <c r="H32" s="118"/>
    </row>
    <row r="33" spans="1:8" ht="28.5" customHeight="1">
      <c r="A33" s="42" t="s">
        <v>23</v>
      </c>
      <c r="B33" s="51" t="s">
        <v>37</v>
      </c>
      <c r="C33" s="35">
        <v>219</v>
      </c>
      <c r="D33" s="35">
        <f>D34+D36+D37+D38+D39+D40</f>
        <v>219</v>
      </c>
      <c r="E33" s="87" t="str">
        <f t="shared" si="3"/>
        <v>-</v>
      </c>
      <c r="F33" s="88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20</v>
      </c>
      <c r="D34" s="35">
        <f>C34</f>
        <v>20</v>
      </c>
      <c r="E34" s="87" t="str">
        <f t="shared" si="3"/>
        <v>-</v>
      </c>
      <c r="F34" s="88">
        <f t="shared" si="1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20</v>
      </c>
      <c r="D35" s="35">
        <f aca="true" t="shared" si="4" ref="D35:D48">C35</f>
        <v>20</v>
      </c>
      <c r="E35" s="87" t="str">
        <f t="shared" si="3"/>
        <v>-</v>
      </c>
      <c r="F35" s="88">
        <f t="shared" si="1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0</v>
      </c>
      <c r="D36" s="35">
        <f t="shared" si="4"/>
        <v>0</v>
      </c>
      <c r="E36" s="87" t="str">
        <f t="shared" si="3"/>
        <v>-</v>
      </c>
      <c r="F36" s="88" t="str">
        <f t="shared" si="1"/>
        <v>-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4"/>
        <v>0</v>
      </c>
      <c r="E37" s="87" t="str">
        <f t="shared" si="3"/>
        <v>-</v>
      </c>
      <c r="F37" s="88" t="str">
        <f t="shared" si="1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4"/>
        <v>0</v>
      </c>
      <c r="E38" s="87" t="str">
        <f t="shared" si="3"/>
        <v>-</v>
      </c>
      <c r="F38" s="88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181</v>
      </c>
      <c r="D39" s="35">
        <f t="shared" si="4"/>
        <v>181</v>
      </c>
      <c r="E39" s="87" t="str">
        <f t="shared" si="3"/>
        <v>-</v>
      </c>
      <c r="F39" s="88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18</v>
      </c>
      <c r="D40" s="35">
        <f t="shared" si="4"/>
        <v>18</v>
      </c>
      <c r="E40" s="87" t="str">
        <f t="shared" si="3"/>
        <v>-</v>
      </c>
      <c r="F40" s="88">
        <f t="shared" si="1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21016</v>
      </c>
      <c r="D41" s="35">
        <f t="shared" si="4"/>
        <v>21016</v>
      </c>
      <c r="E41" s="87" t="str">
        <f t="shared" si="3"/>
        <v>-</v>
      </c>
      <c r="F41" s="88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v>4245</v>
      </c>
      <c r="D42" s="35">
        <f>SUM(D43:D46)</f>
        <v>4245</v>
      </c>
      <c r="E42" s="87" t="str">
        <f t="shared" si="3"/>
        <v>-</v>
      </c>
      <c r="F42" s="88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3192</v>
      </c>
      <c r="D43" s="35">
        <f>C43</f>
        <v>3192</v>
      </c>
      <c r="E43" s="87" t="str">
        <f t="shared" si="3"/>
        <v>-</v>
      </c>
      <c r="F43" s="88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515</v>
      </c>
      <c r="D44" s="35">
        <f>C44</f>
        <v>515</v>
      </c>
      <c r="E44" s="87" t="str">
        <f t="shared" si="3"/>
        <v>-</v>
      </c>
      <c r="F44" s="88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7" t="str">
        <f t="shared" si="3"/>
        <v>-</v>
      </c>
      <c r="F45" s="88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538</v>
      </c>
      <c r="D46" s="35">
        <f>C46</f>
        <v>538</v>
      </c>
      <c r="E46" s="87" t="str">
        <f t="shared" si="3"/>
        <v>-</v>
      </c>
      <c r="F46" s="88">
        <f t="shared" si="1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4"/>
        <v>0</v>
      </c>
      <c r="E47" s="87" t="str">
        <f t="shared" si="3"/>
        <v>-</v>
      </c>
      <c r="F47" s="88" t="str">
        <f aca="true" t="shared" si="5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3553</v>
      </c>
      <c r="D48" s="35">
        <f t="shared" si="4"/>
        <v>3553</v>
      </c>
      <c r="E48" s="87" t="str">
        <f t="shared" si="3"/>
        <v>-</v>
      </c>
      <c r="F48" s="90">
        <f t="shared" si="5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263</v>
      </c>
      <c r="D49" s="35">
        <f>C49</f>
        <v>263</v>
      </c>
      <c r="E49" s="87" t="str">
        <f t="shared" si="3"/>
        <v>-</v>
      </c>
      <c r="F49" s="90">
        <f t="shared" si="5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300</v>
      </c>
      <c r="D50" s="35">
        <f>C50</f>
        <v>300</v>
      </c>
      <c r="E50" s="87" t="str">
        <f t="shared" si="3"/>
        <v>-</v>
      </c>
      <c r="F50" s="88">
        <f t="shared" si="5"/>
        <v>1</v>
      </c>
      <c r="H50" s="118"/>
    </row>
    <row r="51" spans="1:31" s="3" customFormat="1" ht="30" customHeight="1">
      <c r="A51" s="44" t="s">
        <v>34</v>
      </c>
      <c r="B51" s="56" t="s">
        <v>174</v>
      </c>
      <c r="C51" s="38">
        <f>SUM(C52:C55)</f>
        <v>19335</v>
      </c>
      <c r="D51" s="38">
        <f>SUM(D52:D55)</f>
        <v>14512</v>
      </c>
      <c r="E51" s="13">
        <f t="shared" si="3"/>
        <v>-4823</v>
      </c>
      <c r="F51" s="91">
        <f t="shared" si="5"/>
        <v>0.7506</v>
      </c>
      <c r="G51" s="2"/>
      <c r="H51" s="11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8" ht="42" customHeight="1">
      <c r="A52" s="42" t="s">
        <v>119</v>
      </c>
      <c r="B52" s="51" t="s">
        <v>144</v>
      </c>
      <c r="C52" s="92">
        <v>40</v>
      </c>
      <c r="D52" s="35">
        <f>C52-30</f>
        <v>10</v>
      </c>
      <c r="E52" s="92">
        <f>IF(C52=D52,"-",D52-C52)</f>
        <v>-30</v>
      </c>
      <c r="F52" s="98">
        <f t="shared" si="5"/>
        <v>0.25</v>
      </c>
      <c r="H52" s="118"/>
    </row>
    <row r="53" spans="1:8" ht="31.5" customHeight="1">
      <c r="A53" s="42" t="s">
        <v>35</v>
      </c>
      <c r="B53" s="51" t="s">
        <v>63</v>
      </c>
      <c r="C53" s="92">
        <v>18295</v>
      </c>
      <c r="D53" s="35">
        <f>C53-6493</f>
        <v>11802</v>
      </c>
      <c r="E53" s="92">
        <f>IF(C53=D53,"-",D53-C53)</f>
        <v>-6493</v>
      </c>
      <c r="F53" s="98">
        <f t="shared" si="5"/>
        <v>0.6451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5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1000</v>
      </c>
      <c r="D55" s="35">
        <f>C55+1700</f>
        <v>2700</v>
      </c>
      <c r="E55" s="92">
        <f>IF(C55=D55,"-",D55-C55)</f>
        <v>1700</v>
      </c>
      <c r="F55" s="98">
        <f t="shared" si="5"/>
        <v>2.7</v>
      </c>
      <c r="H55" s="118"/>
    </row>
    <row r="56" spans="1:8" ht="32.25" customHeight="1">
      <c r="A56" s="44" t="s">
        <v>127</v>
      </c>
      <c r="B56" s="56" t="s">
        <v>154</v>
      </c>
      <c r="C56" s="109">
        <v>177</v>
      </c>
      <c r="D56" s="38">
        <f>C56+4823</f>
        <v>5000</v>
      </c>
      <c r="E56" s="13">
        <f>IF(C56=D56,"-",D56-C56)</f>
        <v>4823</v>
      </c>
      <c r="F56" s="91">
        <f>IF(C56=0,"-",D56/C56)</f>
        <v>28.2486</v>
      </c>
      <c r="H56" s="118"/>
    </row>
    <row r="72" ht="54" customHeight="1"/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edyta.rosinska</cp:lastModifiedBy>
  <cp:lastPrinted>2010-12-01T09:30:41Z</cp:lastPrinted>
  <dcterms:created xsi:type="dcterms:W3CDTF">2005-07-21T09:51:05Z</dcterms:created>
  <dcterms:modified xsi:type="dcterms:W3CDTF">2010-12-17T09:34:23Z</dcterms:modified>
  <cp:category/>
  <cp:version/>
  <cp:contentType/>
  <cp:contentStatus/>
</cp:coreProperties>
</file>